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955" firstSheet="2" activeTab="3"/>
  </bookViews>
  <sheets>
    <sheet name="2014" sheetId="1" r:id="rId1"/>
    <sheet name="2015" sheetId="2" r:id="rId2"/>
    <sheet name="нов спис 2015 (2)" sheetId="3" r:id="rId3"/>
    <sheet name="нов спис с мая 2015" sheetId="4" r:id="rId4"/>
  </sheets>
  <definedNames>
    <definedName name="_xlnm._FilterDatabase" localSheetId="0" hidden="1">'2014'!$A$7:$Q$573</definedName>
    <definedName name="_xlnm._FilterDatabase" localSheetId="1" hidden="1">'2015'!$A$6:$Q$579</definedName>
    <definedName name="_xlnm._FilterDatabase" localSheetId="2" hidden="1">'нов спис 2015 (2)'!$A$5:$R$579</definedName>
    <definedName name="_xlnm._FilterDatabase" localSheetId="3" hidden="1">'нов спис с мая 2015'!$A$5:$R$767</definedName>
    <definedName name="Адрес" localSheetId="0">OFFSET('2014'!$B$8,0,0,COUNTA('2014'!$B:$B),1)</definedName>
    <definedName name="Адрес" localSheetId="1">OFFSET('2015'!$B$8,0,0,COUNTA('2015'!$B:$B),1)</definedName>
    <definedName name="Адрес">OFFSET(#REF!,0,0,COUNTA(#REF!),1)</definedName>
    <definedName name="АдресКод" localSheetId="0">OFFSET('2014'!$B$8,0,0,COUNTA('2014'!$B:$B),2)</definedName>
    <definedName name="АдресКод" localSheetId="1">OFFSET('2015'!$B$8,0,0,COUNTA('2015'!$B:$B),2)</definedName>
    <definedName name="АдресКод">OFFSET(#REF!,0,0,COUNTA(#REF!),2)</definedName>
    <definedName name="_xlnm.Print_Titles" localSheetId="0">'2014'!$6:$7</definedName>
    <definedName name="_xlnm.Print_Titles" localSheetId="1">'2015'!$6:$7</definedName>
    <definedName name="_xlnm.Print_Titles" localSheetId="2">'нов спис 2015 (2)'!$5:$5</definedName>
    <definedName name="_xlnm.Print_Titles" localSheetId="3">'нов спис с мая 2015'!$5:$5</definedName>
  </definedNames>
  <calcPr fullCalcOnLoad="1"/>
</workbook>
</file>

<file path=xl/comments1.xml><?xml version="1.0" encoding="utf-8"?>
<comments xmlns="http://schemas.openxmlformats.org/spreadsheetml/2006/main">
  <authors>
    <author>13-3dog</author>
    <author>14-2dog</author>
  </authors>
  <commentList>
    <comment ref="B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06.11.2013 расселен
</t>
        </r>
      </text>
    </comment>
    <comment ref="B1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05.11.2013 расселен
</t>
        </r>
      </text>
    </comment>
    <comment ref="L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B5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22.07.2014 расселен</t>
        </r>
      </text>
    </comment>
    <comment ref="B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04.12.2013 расселен</t>
        </r>
      </text>
    </comment>
    <comment ref="B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26.02.2014 расселен
</t>
        </r>
      </text>
    </comment>
    <comment ref="B11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15.05.2013 расселен</t>
        </r>
      </text>
    </comment>
    <comment ref="L122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3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5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B14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11.02.2014 расселен
</t>
        </r>
      </text>
    </comment>
    <comment ref="B1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11.07.2013 расселен</t>
        </r>
      </text>
    </comment>
    <comment ref="B16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17.07.2011 расселен</t>
        </r>
      </text>
    </comment>
    <comment ref="B17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14.07.2014 расселен
</t>
        </r>
      </text>
    </comment>
    <comment ref="B19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3.11 расселен</t>
        </r>
      </text>
    </comment>
    <comment ref="B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05.12.2011 расселен
</t>
        </r>
      </text>
    </comment>
    <comment ref="D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K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Пр №46 ОООЖКС от 15.07.14 О снятии с учета и ТО расселенных жил домов
</t>
        </r>
      </text>
    </comment>
    <comment ref="B1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30.08.2013 расселен</t>
        </r>
      </text>
    </comment>
    <comment ref="B19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04.07.2014 расселен
</t>
        </r>
      </text>
    </comment>
    <comment ref="B20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14.10.2011 расселен
</t>
        </r>
      </text>
    </comment>
    <comment ref="D20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0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15.07.2014 расселен
</t>
        </r>
      </text>
    </comment>
    <comment ref="L2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B24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4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01.03.2010 расселен</t>
        </r>
      </text>
    </comment>
    <comment ref="D24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18.05.2010 расселен
</t>
        </r>
      </text>
    </comment>
    <comment ref="D2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Искл из дог 10681 с 13.02.13 Доп согл. </t>
        </r>
      </text>
    </comment>
    <comment ref="B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29.04.2013 расселен
</t>
        </r>
      </text>
    </comment>
    <comment ref="D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7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06.02.2014 расселен</t>
        </r>
      </text>
    </comment>
    <comment ref="B27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13.05.2014 расселен</t>
        </r>
      </text>
    </comment>
    <comment ref="B27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15.01.2014 расселен
</t>
        </r>
      </text>
    </comment>
    <comment ref="B27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14.11.2013 расселен</t>
        </r>
      </text>
    </comment>
    <comment ref="K275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расселен. Отключен  акт Курортэнерго от 22.07.2014
</t>
        </r>
      </text>
    </comment>
    <comment ref="B27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8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14.02.2014 расселен
</t>
        </r>
      </text>
    </comment>
    <comment ref="B29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01.08.2012 расселен
</t>
        </r>
      </text>
    </comment>
    <comment ref="D29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20.06.2011 расселен
</t>
        </r>
      </text>
    </comment>
    <comment ref="D29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B29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28.03.2014 расселен</t>
        </r>
      </text>
    </comment>
    <comment ref="P30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B31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16.01.2014 расселен</t>
        </r>
      </text>
    </comment>
    <comment ref="K3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2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B33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28.02.2014 расселен</t>
        </r>
      </text>
    </comment>
    <comment ref="B33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23.11.2012 расселен
</t>
        </r>
      </text>
    </comment>
    <comment ref="K3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</t>
        </r>
      </text>
    </comment>
    <comment ref="B35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
</t>
        </r>
      </text>
    </comment>
    <comment ref="B3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05.02.2013 расселен</t>
        </r>
      </text>
    </comment>
    <comment ref="B36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10.06.2011 расселен</t>
        </r>
      </text>
    </comment>
    <comment ref="K40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  <comment ref="B40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07.03.2014 расселен</t>
        </r>
      </text>
    </comment>
    <comment ref="B41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29.04.2011 расселен</t>
        </r>
      </text>
    </comment>
    <comment ref="B42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28.12.2012 расселен</t>
        </r>
      </text>
    </comment>
    <comment ref="K44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
</t>
        </r>
      </text>
    </comment>
    <comment ref="L44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B45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05.10.2010 расселен</t>
        </r>
      </text>
    </comment>
    <comment ref="B45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05.10.2012 расселен
</t>
        </r>
      </text>
    </comment>
    <comment ref="B45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17.02.2011 расселен</t>
        </r>
      </text>
    </comment>
    <comment ref="D45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B4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21.09.2013 расселен</t>
        </r>
      </text>
    </comment>
    <comment ref="B45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21.06.2014 расселен
</t>
        </r>
      </text>
    </comment>
    <comment ref="D45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B46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01.08.2011 расселен</t>
        </r>
      </text>
    </comment>
    <comment ref="B46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</t>
        </r>
      </text>
    </comment>
    <comment ref="B4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03.02.2012 расселен</t>
        </r>
      </text>
    </comment>
    <comment ref="D4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48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22.01.2013 расселен</t>
        </r>
      </text>
    </comment>
    <comment ref="B48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30.01.2014 расселен</t>
        </r>
      </text>
    </comment>
    <comment ref="B53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29.09.2014 расселен</t>
        </r>
      </text>
    </comment>
  </commentList>
</comments>
</file>

<file path=xl/comments2.xml><?xml version="1.0" encoding="utf-8"?>
<comments xmlns="http://schemas.openxmlformats.org/spreadsheetml/2006/main">
  <authors>
    <author>13-3dog</author>
    <author>14-2dog</author>
    <author>Пользователь</author>
  </authors>
  <commentList>
    <comment ref="B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06.11.2013 расселен
</t>
        </r>
      </text>
    </comment>
    <comment ref="B1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05.11.2013 расселен
</t>
        </r>
      </text>
    </comment>
    <comment ref="B5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22.07.2014 расселен</t>
        </r>
      </text>
    </comment>
    <comment ref="B8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04.12.2013 расселен</t>
        </r>
      </text>
    </comment>
    <comment ref="B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26.02.2014 расселен
</t>
        </r>
      </text>
    </comment>
    <comment ref="B11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15.05.2013 расселен</t>
        </r>
      </text>
    </comment>
    <comment ref="B14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11.02.2014 расселен
</t>
        </r>
      </text>
    </comment>
    <comment ref="B15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11.07.2013 расселен</t>
        </r>
      </text>
    </comment>
    <comment ref="B16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17.07.2011 расселен</t>
        </r>
      </text>
    </comment>
    <comment ref="B17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14.07.2014 расселен
</t>
        </r>
      </text>
    </comment>
    <comment ref="B19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3.11 расселен</t>
        </r>
      </text>
    </comment>
    <comment ref="B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05.12.2011 расселен
</t>
        </r>
      </text>
    </comment>
    <comment ref="B19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30.08.2013 расселен</t>
        </r>
      </text>
    </comment>
    <comment ref="B19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04.07.2014 расселен
</t>
        </r>
      </text>
    </comment>
    <comment ref="B20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14.10.2011 расселен
</t>
        </r>
      </text>
    </comment>
    <comment ref="B20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15.07.2014 расселен
</t>
        </r>
      </text>
    </comment>
    <comment ref="B24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4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01.03.2010 расселен</t>
        </r>
      </text>
    </comment>
    <comment ref="B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18.05.2010 расселен
</t>
        </r>
      </text>
    </comment>
    <comment ref="B25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29.04.2013 расселен
</t>
        </r>
      </text>
    </comment>
    <comment ref="B27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06.02.2014 расселен</t>
        </r>
      </text>
    </comment>
    <comment ref="B27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13.05.2014 расселен</t>
        </r>
      </text>
    </comment>
    <comment ref="B27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15.01.2014 расселен
</t>
        </r>
      </text>
    </comment>
    <comment ref="B27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14.11.2013 расселен</t>
        </r>
      </text>
    </comment>
    <comment ref="K277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расселен. Отключен  акт Курортэнерго от 22.07.2014
</t>
        </r>
      </text>
    </comment>
    <comment ref="B27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22.01.2014 расселен</t>
        </r>
      </text>
    </comment>
    <comment ref="B28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14.02.2014 расселен
</t>
        </r>
      </text>
    </comment>
    <comment ref="B29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01.08.2012 расселен
</t>
        </r>
      </text>
    </comment>
    <comment ref="B29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20.06.2011 расселен
</t>
        </r>
      </text>
    </comment>
    <comment ref="B29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28.03.2014 расселен</t>
        </r>
      </text>
    </comment>
    <comment ref="B31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16.01.2014 расселен</t>
        </r>
      </text>
    </comment>
    <comment ref="B33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28.02.2014 расселен</t>
        </r>
      </text>
    </comment>
    <comment ref="B34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23.11.2012 расселен
</t>
        </r>
      </text>
    </comment>
    <comment ref="B3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
</t>
        </r>
      </text>
    </comment>
    <comment ref="B35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05.02.2013 расселен</t>
        </r>
      </text>
    </comment>
    <comment ref="B36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10.06.2011 расселен</t>
        </r>
      </text>
    </comment>
    <comment ref="B41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07.03.2014 расселен</t>
        </r>
      </text>
    </comment>
    <comment ref="B413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29.04.2011 расселен</t>
        </r>
      </text>
    </comment>
    <comment ref="B43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28.12.2012 расселен</t>
        </r>
      </text>
    </comment>
    <comment ref="B45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05.10.2010 расселен</t>
        </r>
      </text>
    </comment>
    <comment ref="B45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05.10.2012 расселен
</t>
        </r>
      </text>
    </comment>
    <comment ref="B45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17.02.2011 расселен</t>
        </r>
      </text>
    </comment>
    <comment ref="B45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21.09.2013 расселен</t>
        </r>
      </text>
    </comment>
    <comment ref="B46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21.06.2014 расселен
</t>
        </r>
      </text>
    </comment>
    <comment ref="B46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01.08.2011 расселен</t>
        </r>
      </text>
    </comment>
    <comment ref="B46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28.04.2014 расселен</t>
        </r>
      </text>
    </comment>
    <comment ref="B48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03.02.2012 расселен</t>
        </r>
      </text>
    </comment>
    <comment ref="B48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22.01.2013 расселен</t>
        </r>
      </text>
    </comment>
    <comment ref="B49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30.01.2014 расселен</t>
        </r>
      </text>
    </comment>
    <comment ref="B54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29.09.2014 расселен. Искл из дог с 01.01.2015</t>
        </r>
      </text>
    </comment>
    <comment ref="L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L122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3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125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по счетчику в Б/У</t>
        </r>
      </text>
    </comment>
    <comment ref="L227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K32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2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K353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53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</t>
        </r>
      </text>
    </comment>
    <comment ref="K40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  <comment ref="K4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
</t>
        </r>
      </text>
    </comment>
    <comment ref="L451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K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Пр №46 ОООЖКС от 15.07.14 О снятии с учета и ТО расселенных жил домов
</t>
        </r>
      </text>
    </comment>
    <comment ref="D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Искл из дог 10681 с 13.02.13 Доп согл. </t>
        </r>
      </text>
    </comment>
    <comment ref="D25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29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487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249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45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462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298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D20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D194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12.07.12 искл из Дог №10681</t>
        </r>
      </text>
    </comment>
    <comment ref="P31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E310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B96" authorId="2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244" authorId="2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Искл из дог 10681 с 01.01.15</t>
        </r>
      </text>
    </comment>
    <comment ref="B200" authorId="2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искл из дог с 01.01.2015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  <author>14-2dog</author>
    <author>13-3dog</author>
  </authors>
  <commentList>
    <comment ref="B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02,11,13</t>
        </r>
      </text>
    </comment>
    <comment ref="L18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B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04.12.13
</t>
        </r>
      </text>
    </comment>
    <comment ref="B1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26.02.14 расселен</t>
        </r>
      </text>
    </comment>
    <comment ref="B1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15.05.13 расселен</t>
        </r>
      </text>
    </comment>
    <comment ref="B1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11.02.14 расселен
</t>
        </r>
      </text>
    </comment>
    <comment ref="B1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11.07.13 расселен</t>
        </r>
      </text>
    </comment>
    <comment ref="B2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14.07.14 расселен</t>
        </r>
      </text>
    </comment>
    <comment ref="H2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отключен от э/эн Акт ЗАО курортэнерго от 16.04.2014 №3 29494</t>
        </r>
      </text>
    </comment>
    <comment ref="B2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3.11 расселен</t>
        </r>
      </text>
    </comment>
    <comment ref="B2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30.08.13 расселен</t>
        </r>
      </text>
    </comment>
    <comment ref="B2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04.07.14 расселен</t>
        </r>
      </text>
    </comment>
    <comment ref="B2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исключен из договора 10681 с 01.01.2015</t>
        </r>
      </text>
    </comment>
    <comment ref="B2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29.09.14 расселен</t>
        </r>
      </text>
    </comment>
    <comment ref="B2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15.07.14 расселен</t>
        </r>
      </text>
    </comment>
    <comment ref="L26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
</t>
        </r>
      </text>
    </comment>
    <comment ref="B2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22.01.14 расселен</t>
        </r>
      </text>
    </comment>
    <comment ref="B2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2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01.03.2010 расселен</t>
        </r>
      </text>
    </comment>
    <comment ref="D289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29.04.13 расселен</t>
        </r>
      </text>
    </comment>
    <comment ref="D292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3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06.02.14 расселен</t>
        </r>
      </text>
    </comment>
    <comment ref="B3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14.11.13 расселен</t>
        </r>
      </text>
    </comment>
    <comment ref="K316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расселен. Отключен  акт Курортэнерго от 22.07.2014
</t>
        </r>
      </text>
    </comment>
    <comment ref="B3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22.01.14 расселен</t>
        </r>
      </text>
    </comment>
    <comment ref="B3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28.03.14 расселен</t>
        </r>
      </text>
    </comment>
    <comment ref="E350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P350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B3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28.02.14 расселен</t>
        </r>
      </text>
    </comment>
    <comment ref="B3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23.11.12 расселен</t>
        </r>
      </text>
    </comment>
    <comment ref="K399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адреса нет в файле БУ новый ЖКС</t>
        </r>
      </text>
    </comment>
    <comment ref="L399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 в Б/У</t>
        </r>
      </text>
    </comment>
    <comment ref="B4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05.02.13 расселен</t>
        </r>
      </text>
    </comment>
    <comment ref="B4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10.06.11 расселен</t>
        </r>
      </text>
    </comment>
    <comment ref="K450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есть счетчик
</t>
        </r>
      </text>
    </comment>
    <comment ref="B4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H4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отключен . Акт ЗАО курортэнерго от 16.04.2015 №3029493
</t>
        </r>
      </text>
    </comment>
    <comment ref="B4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29.04.11 расселен</t>
        </r>
      </text>
    </comment>
    <comment ref="B4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снят с ТО. От 03.05.2013
передача в частн собств</t>
        </r>
      </text>
    </comment>
    <comment ref="B4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28.12.12 расселен
</t>
        </r>
      </text>
    </comment>
    <comment ref="K51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
</t>
        </r>
      </text>
    </comment>
    <comment ref="L514" authorId="1">
      <text>
        <r>
          <rPr>
            <b/>
            <sz val="8"/>
            <rFont val="Tahoma"/>
            <family val="2"/>
          </rPr>
          <t>14-2dog:</t>
        </r>
        <r>
          <rPr>
            <sz val="8"/>
            <rFont val="Tahoma"/>
            <family val="2"/>
          </rPr>
          <t xml:space="preserve">
счетчик</t>
        </r>
      </text>
    </comment>
    <comment ref="B5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21.06.14
</t>
        </r>
      </text>
    </comment>
    <comment ref="B5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28.04.14 расселен</t>
        </r>
      </text>
    </comment>
    <comment ref="B5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576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21.09.2013 расселен</t>
        </r>
      </text>
    </comment>
    <comment ref="B578" authorId="2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22.01.2013 расселен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  <author>13-3dog</author>
  </authors>
  <commentList>
    <comment ref="B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02,11,13</t>
        </r>
      </text>
    </comment>
    <comment ref="B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04.12.13
</t>
        </r>
      </text>
    </comment>
    <comment ref="B10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26.02.14 расселен</t>
        </r>
      </text>
    </comment>
    <comment ref="B13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15.05.13 расселен</t>
        </r>
      </text>
    </comment>
    <comment ref="B17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11.02.14 расселен
</t>
        </r>
      </text>
    </comment>
    <comment ref="B17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11.07.13 расселен</t>
        </r>
      </text>
    </comment>
    <comment ref="B2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14.07.14 расселен</t>
        </r>
      </text>
    </comment>
    <comment ref="B2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3.11 расселен</t>
        </r>
      </text>
    </comment>
    <comment ref="B23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30.08.13 расселен</t>
        </r>
      </text>
    </comment>
    <comment ref="B23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04.07.14 расселен</t>
        </r>
      </text>
    </comment>
    <comment ref="B23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исключен из договора 10681 с 01.01.2015</t>
        </r>
      </text>
    </comment>
    <comment ref="B2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29.09.14 расселен</t>
        </r>
      </text>
    </comment>
    <comment ref="B24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15.07.14 расселен</t>
        </r>
      </text>
    </comment>
    <comment ref="B28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22.01.14 расселен</t>
        </r>
      </text>
    </comment>
    <comment ref="B28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B28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01.03.2010 расселен</t>
        </r>
      </text>
    </comment>
    <comment ref="D289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2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29.04.13 расселен</t>
        </r>
      </text>
    </comment>
    <comment ref="D292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  <comment ref="B31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06.02.14 расселен</t>
        </r>
      </text>
    </comment>
    <comment ref="B3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14.11.13 расселен</t>
        </r>
      </text>
    </comment>
    <comment ref="B3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22.01.14 расселен</t>
        </r>
      </text>
    </comment>
    <comment ref="B33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28.03.14 расселен</t>
        </r>
      </text>
    </comment>
    <comment ref="E350" authorId="1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по счетчику в безучетке с декабря 2014
</t>
        </r>
      </text>
    </comment>
    <comment ref="B38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28.02.14 расселен</t>
        </r>
      </text>
    </comment>
    <comment ref="B38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23.11.12 расселен</t>
        </r>
      </text>
    </comment>
    <comment ref="B4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05.02.13 расселен</t>
        </r>
      </text>
    </comment>
    <comment ref="B41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10.06.11 расселен</t>
        </r>
      </text>
    </comment>
    <comment ref="B46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H46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отключен . Акт ЗАО курортэнерго от 16.04.2015 №3029493
</t>
        </r>
      </text>
    </comment>
    <comment ref="B47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29.04.11 расселен</t>
        </r>
      </text>
    </comment>
    <comment ref="B47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снят с ТО. От 03.05.2013
передача в частн собств
</t>
        </r>
      </text>
    </comment>
    <comment ref="B4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28.12.12 расселен
</t>
        </r>
      </text>
    </comment>
    <comment ref="B5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расселен 21.06.14
</t>
        </r>
      </text>
    </comment>
    <comment ref="B52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28.04.14 расселен</t>
        </r>
      </text>
    </comment>
    <comment ref="B55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<sst xmlns="http://schemas.openxmlformats.org/spreadsheetml/2006/main" count="4337" uniqueCount="1401">
  <si>
    <t xml:space="preserve">КВАРТАЛ 12-Й П.ПЕСОЧНЫЙ, дом № 201  </t>
  </si>
  <si>
    <t xml:space="preserve">КВАРТАЛ 12-Й П.ПЕСОЧНЫЙ, дом № 202  </t>
  </si>
  <si>
    <t xml:space="preserve">КВАРТАЛ 12-Й П.ПЕСОЧНЫЙ, дом № 202А  </t>
  </si>
  <si>
    <t xml:space="preserve">КВАРТАЛ 12-Й П.ПЕСОЧНЫЙ, дом № 204  </t>
  </si>
  <si>
    <t xml:space="preserve">КВАРТАЛ 12-Й П.ПЕСОЧНЫЙ, дом № 205  </t>
  </si>
  <si>
    <t xml:space="preserve">КВАРТАЛ 12-Й П.ПЕСОЧНЫЙ, дом № 206  </t>
  </si>
  <si>
    <t xml:space="preserve">КВАРТАЛ 12-Й П.ПЕСОЧНЫЙ, дом № 207  </t>
  </si>
  <si>
    <t xml:space="preserve">КВАРТАЛ 13-Й П.ПЕСОЧНЫЙ, дом № 209  </t>
  </si>
  <si>
    <t xml:space="preserve">КВАРТАЛ 13-Й П.ПЕСОЧНЫЙ, дом № 210  </t>
  </si>
  <si>
    <t xml:space="preserve">КВАРТАЛ 13-Й П.ПЕСОЧНЫЙ, дом № 212А  </t>
  </si>
  <si>
    <t xml:space="preserve">КВАРТАЛ 13-Й П.ПЕСОЧНЫЙ, дом № 213  </t>
  </si>
  <si>
    <t xml:space="preserve">КВАРТАЛ 13-Й П.ПЕСОЧНЫЙ, дом № 214  </t>
  </si>
  <si>
    <t xml:space="preserve">КВАРТАЛ 13-Й П.ПЕСОЧНЫЙ, дом № 215  </t>
  </si>
  <si>
    <t xml:space="preserve">КВАРТАЛ 13-Й П.ПЕСОЧНЫЙ, дом № 217  </t>
  </si>
  <si>
    <t xml:space="preserve">КВАРТАЛ 14-Й П.ПЕСОЧНЫЙ, дом № 218  </t>
  </si>
  <si>
    <t xml:space="preserve">КВАРТАЛ 14-Й П.ПЕСОЧНЫЙ, дом № 219  </t>
  </si>
  <si>
    <t xml:space="preserve">КВАРТАЛ 14-Й П.ПЕСОЧНЫЙ, дом № 220  </t>
  </si>
  <si>
    <t xml:space="preserve">КВАРТАЛ 14-Й П.ПЕСОЧНЫЙ, дом № 221  </t>
  </si>
  <si>
    <t xml:space="preserve">КВАРТАЛ 14-Й П.ПЕСОЧНЫЙ, дом № 222  </t>
  </si>
  <si>
    <t xml:space="preserve">КВАРТАЛ 14-Й П.ПЕСОЧНЫЙ, дом № 223  </t>
  </si>
  <si>
    <t xml:space="preserve">КВАРТАЛ 14-Й П.ПЕСОЧНЫЙ, дом № 224  </t>
  </si>
  <si>
    <t xml:space="preserve">КВАРТАЛ 14-Й П.ПЕСОЧНЫЙ, дом № 226  </t>
  </si>
  <si>
    <t xml:space="preserve">КВАРТАЛ 14-Й П.ПЕСОЧНЫЙ, дом № 226А  </t>
  </si>
  <si>
    <t xml:space="preserve">КВАРТАЛ 14-Й П.ПЕСОЧНЫЙ, дом № 227  </t>
  </si>
  <si>
    <t xml:space="preserve">КВАРТАЛ 14-Й П.ПЕСОЧНЫЙ, дом № 227А  </t>
  </si>
  <si>
    <t xml:space="preserve">КВАРТАЛ 15-Й П.ПЕСОЧНЫЙ, дом № 228  </t>
  </si>
  <si>
    <t xml:space="preserve">КВАРТАЛ 15-Й П.ПЕСОЧНЫЙ, дом № 229  </t>
  </si>
  <si>
    <t xml:space="preserve">КВАРТАЛ 15-Й П.ПЕСОЧНЫЙ, дом № 230  </t>
  </si>
  <si>
    <t xml:space="preserve">КВАРТАЛ 15-Й П.ПЕСОЧНЫЙ, дом № 231  </t>
  </si>
  <si>
    <t xml:space="preserve">КВАРТАЛ 15-Й П.ПЕСОЧНЫЙ, дом № 231А  </t>
  </si>
  <si>
    <t xml:space="preserve">КВАРТАЛ 15-Й П.ПЕСОЧНЫЙ, дом № 232  </t>
  </si>
  <si>
    <t xml:space="preserve">КВАРТАЛ 15-Й П.ПЕСОЧНЫЙ, дом № 234  </t>
  </si>
  <si>
    <t xml:space="preserve">КВАРТАЛ 15-Й П.ПЕСОЧНЫЙ, дом № 234А  </t>
  </si>
  <si>
    <t xml:space="preserve">КВАРТАЛ 15-Й П.ПЕСОЧНЫЙ, дом № 235  </t>
  </si>
  <si>
    <t xml:space="preserve">КВАРТАЛ 15-Й П.ПЕСОЧНЫЙ, дом № 236  </t>
  </si>
  <si>
    <t xml:space="preserve">КВАРТАЛ 15-Й П.ПЕСОЧНЫЙ, дом № 237  </t>
  </si>
  <si>
    <t xml:space="preserve">КВАРТАЛ 16-Й П.ПЕСОЧНЫЙ, дом № 238  </t>
  </si>
  <si>
    <t xml:space="preserve">КВАРТАЛ 16-Й П.ПЕСОЧНЫЙ, дом № 239  </t>
  </si>
  <si>
    <t xml:space="preserve">КВАРТАЛ 16-Й П.ПЕСОЧНЫЙ, дом № 240  </t>
  </si>
  <si>
    <t xml:space="preserve">КВАРТАЛ 16-Й П.ПЕСОЧНЫЙ, дом № 241  </t>
  </si>
  <si>
    <t xml:space="preserve">КВАРТАЛ 16-Й П.ПЕСОЧНЫЙ, дом № 242  </t>
  </si>
  <si>
    <t xml:space="preserve">КВАРТАЛ 16-Й П.ПЕСОЧНЫЙ, дом № 243  </t>
  </si>
  <si>
    <t xml:space="preserve">КВАРТАЛ 16-Й П.ПЕСОЧНЫЙ, дом № 244  </t>
  </si>
  <si>
    <t xml:space="preserve">КВАРТАЛ 16-Й П.ПЕСОЧНЫЙ, дом № 244А  </t>
  </si>
  <si>
    <t xml:space="preserve">КВАРТАЛ 16-Й П.ПЕСОЧНЫЙ, дом № 245А  </t>
  </si>
  <si>
    <t xml:space="preserve">КВАРТАЛ 16-Й П.ПЕСОЧНЫЙ, дом № 246  </t>
  </si>
  <si>
    <t xml:space="preserve">КВАРТАЛ 16-Й П.ПЕСОЧНЫЙ, дом № 246А  </t>
  </si>
  <si>
    <t xml:space="preserve">КВАРТАЛ 16-Й П.ПЕСОЧНЫЙ, дом № 247  </t>
  </si>
  <si>
    <t xml:space="preserve">КВАРТАЛ 16-Й П.ПЕСОЧНЫЙ, дом № 248  </t>
  </si>
  <si>
    <t xml:space="preserve">КВАРТАЛ 16-Й П.ПЕСОЧНЫЙ, дом № 249  </t>
  </si>
  <si>
    <t xml:space="preserve">КВАРТАЛ 16-Й П.ПЕСОЧНЫЙ, дом № 250  </t>
  </si>
  <si>
    <t xml:space="preserve">КВАРТАЛ 16-Й П.ПЕСОЧНЫЙ, дом № 251  </t>
  </si>
  <si>
    <t xml:space="preserve">КВАРТАЛ 16-Й П.ПЕСОЧНЫЙ, дом № 252  </t>
  </si>
  <si>
    <t xml:space="preserve">КВАРТАЛ 16-Й П.ПЕСОЧНЫЙ, дом № 253  </t>
  </si>
  <si>
    <t xml:space="preserve">КВАРТАЛ 16-Й П.ПЕСОЧНЫЙ, дом № 254  </t>
  </si>
  <si>
    <t xml:space="preserve">КВАРТАЛ 16-Й П.ПЕСОЧНЫЙ, дом № 256  </t>
  </si>
  <si>
    <t xml:space="preserve">КРАСНОФЛОТСКАЯ УЛ.ПЕСОЧНЫЙ, дом № 29  </t>
  </si>
  <si>
    <t xml:space="preserve">ЛЕНИНГРАДСКАЯ УЛ.ПЕС-Й, дом № 48  </t>
  </si>
  <si>
    <t xml:space="preserve">ЛЕНИНГРАДСКАЯ УЛ.ПЕС-Й, дом № 54  </t>
  </si>
  <si>
    <t xml:space="preserve">ЛЕНИНГРАДСКАЯ УЛ.ПЕС-Й, дом № 56  </t>
  </si>
  <si>
    <t xml:space="preserve">ЛЕНИНГРАДСКАЯ УЛ.ПЕС-Й, дом № 58  </t>
  </si>
  <si>
    <t xml:space="preserve">ЛЕСНАЯ УЛ. ПОС.ПЕСОЧНЫЙ, дом № 9  </t>
  </si>
  <si>
    <t xml:space="preserve">ЛЕСНАЯ УЛ. ПОС.ПЕСОЧНЫЙ, дом № 9А  </t>
  </si>
  <si>
    <t xml:space="preserve">ОКТЯБРЬСКАЯ УЛ. ПЕСОЧНЫЙ, дом № 19  </t>
  </si>
  <si>
    <t xml:space="preserve">СОВЕТСКАЯ УЛ. П.ПЕСОЧНЫЙ, дом № 36  </t>
  </si>
  <si>
    <t xml:space="preserve">СОВЕТСКАЯ УЛ. П.ПЕСОЧНЫЙ, дом № 42  </t>
  </si>
  <si>
    <t>Сумма по дог № 10681</t>
  </si>
  <si>
    <t>Сумма по дог № 10041 (МОП ЖКС)</t>
  </si>
  <si>
    <t>П.МОРОЗОВА ПЕР. СМОЛ-О д.5</t>
  </si>
  <si>
    <t>П.МОРОЗОВА ПЕР. СМОЛ-О д.7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</si>
  <si>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</si>
  <si>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</si>
  <si>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</si>
  <si>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</si>
  <si>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</si>
  <si>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</si>
  <si>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 xml:space="preserve">БАССЕЙНАЯ УЛ.ЗЕЛЕНОГОРСК д.7  </t>
  </si>
  <si>
    <t xml:space="preserve">БАССЕЙНАЯ УЛ.ЗЕЛЕНОГОРСК д.8  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</si>
  <si>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</si>
  <si>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</si>
  <si>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</si>
  <si>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</si>
  <si>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</si>
  <si>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</si>
  <si>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</si>
  <si>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</si>
  <si>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</si>
  <si>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</si>
  <si>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</si>
  <si>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</si>
  <si>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</si>
  <si>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</si>
  <si>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</si>
  <si>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</si>
  <si>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д.29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</si>
  <si>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</si>
  <si>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</si>
  <si>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</si>
  <si>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</si>
  <si>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</si>
  <si>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</si>
  <si>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</si>
  <si>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</si>
  <si>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</si>
  <si>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</si>
  <si>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</si>
  <si>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</si>
  <si>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</si>
  <si>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</si>
  <si>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</si>
  <si>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>ВОЛОДАРСКОГО УЛ. СЕС-ЦК д.26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</si>
  <si>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</si>
  <si>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</si>
  <si>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</si>
  <si>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</si>
  <si>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</si>
  <si>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</si>
  <si>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</si>
  <si>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</si>
  <si>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</si>
  <si>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</si>
  <si>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</si>
  <si>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</si>
  <si>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</si>
  <si>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</si>
  <si>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</si>
  <si>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</si>
  <si>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</si>
  <si>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</si>
  <si>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</si>
  <si>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</si>
  <si>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</si>
  <si>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</si>
  <si>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</si>
  <si>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</si>
  <si>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</si>
  <si>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</si>
  <si>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</si>
  <si>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</si>
  <si>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</si>
  <si>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</si>
  <si>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</si>
  <si>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</si>
  <si>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</si>
  <si>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</si>
  <si>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</si>
  <si>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 xml:space="preserve">ВОССТАНИЯ УЛ.ЗЕЛЕНОГОРСК д.11  </t>
  </si>
  <si>
    <t xml:space="preserve">ВОССТАНИЯ УЛ.ЗЕЛЕНОГОРСК д.18  </t>
  </si>
  <si>
    <t xml:space="preserve">ВОСТОЧНАЯ УЛ.П.БЕЛООСТРОВ д.13  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</si>
  <si>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</si>
  <si>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</si>
  <si>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</si>
  <si>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</si>
  <si>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 xml:space="preserve">ВОСТОЧНАЯ УЛ.П.БЕЛООСТРОВ д.9А  </t>
  </si>
  <si>
    <t>ГЕРОЕВ УЛ. ЗЕЛЕНОГОРСК д.23А</t>
  </si>
  <si>
    <t xml:space="preserve">ГОРНАЯ УЛ. КОМАРОВО д.3 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</si>
  <si>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</si>
  <si>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</si>
  <si>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</si>
  <si>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</si>
  <si>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</si>
  <si>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</si>
  <si>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</si>
  <si>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</si>
  <si>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</si>
  <si>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</si>
  <si>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д.55А корп.2</t>
  </si>
  <si>
    <t xml:space="preserve">ДЕПОВСКИЙ ПЕР.ЗЕЛЕНОГ. д.4  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</si>
  <si>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</si>
  <si>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</si>
  <si>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</si>
  <si>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</si>
  <si>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</si>
  <si>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</si>
  <si>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</si>
  <si>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</si>
  <si>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</si>
  <si>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</si>
  <si>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</si>
  <si>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</si>
  <si>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 xml:space="preserve">ЖЕЛЕЗНОДОРОЖНАЯ УЛ.РЕПИН д.2  </t>
  </si>
  <si>
    <t xml:space="preserve">ЗАПАДНАЯ УЛ.ДЮНЫ д.10  </t>
  </si>
  <si>
    <t xml:space="preserve">ЗАПАДНАЯ УЛ.ДЮНЫ д.2  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</si>
  <si>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</si>
  <si>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</si>
  <si>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</si>
  <si>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</si>
  <si>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</si>
  <si>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</si>
  <si>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</si>
  <si>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</si>
  <si>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</si>
  <si>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</si>
  <si>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</si>
  <si>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</si>
  <si>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</si>
  <si>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</si>
  <si>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</si>
  <si>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</si>
  <si>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</si>
  <si>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</si>
  <si>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</si>
  <si>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</si>
  <si>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</si>
  <si>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</si>
  <si>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</si>
  <si>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</si>
  <si>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</si>
  <si>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</si>
  <si>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</si>
  <si>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</si>
  <si>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</si>
  <si>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</si>
  <si>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</si>
  <si>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</si>
  <si>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</si>
  <si>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</si>
  <si>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</si>
  <si>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</si>
  <si>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</si>
  <si>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</si>
  <si>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</si>
  <si>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</si>
  <si>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</si>
  <si>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</si>
  <si>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</si>
  <si>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</si>
  <si>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</si>
  <si>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</si>
  <si>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</si>
  <si>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</si>
  <si>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</si>
  <si>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</si>
  <si>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</si>
  <si>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</si>
  <si>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</si>
  <si>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</si>
  <si>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</si>
  <si>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</si>
  <si>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</si>
  <si>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</si>
  <si>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</si>
  <si>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</si>
  <si>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</si>
  <si>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</si>
  <si>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КРАСНЫХ КОМАНДИРОВ ПР. СЕСТР д.15</t>
  </si>
  <si>
    <t xml:space="preserve">КРАСНЫХ КОМАНДИРОВ ПР.З. д.15Б </t>
  </si>
  <si>
    <t xml:space="preserve">КРАСНЫХ КОМАНДИРОВ ПР.З. д.23 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</si>
  <si>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</si>
  <si>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</si>
  <si>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</si>
  <si>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</si>
  <si>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</si>
  <si>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</si>
  <si>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</si>
  <si>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</si>
  <si>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</si>
  <si>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</si>
  <si>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</si>
  <si>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</si>
  <si>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</si>
  <si>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</si>
  <si>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</si>
  <si>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</si>
  <si>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</si>
  <si>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</si>
  <si>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</si>
  <si>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</si>
  <si>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</si>
  <si>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</si>
  <si>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</si>
  <si>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</si>
  <si>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</si>
  <si>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</si>
  <si>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>Исключен из договора с 01.09.2015</t>
  </si>
  <si>
    <t>Комм. Осв отсутств. Акт ПСК от 15.09.15 №С/Ю 1972</t>
  </si>
  <si>
    <t>Сумма по дог № 190734 (53959) (Красавица)</t>
  </si>
  <si>
    <t>Исключен из договора 10681 с 01.09.2015</t>
  </si>
  <si>
    <t>Акт ПСК № С/Ю 1996 от 12.10.2015.  Общежитие.Ветхий дом. КО 3 лампы. Технич возможности установки ПУ КО нет.</t>
  </si>
  <si>
    <t>Искл ПСК из Б/уч</t>
  </si>
  <si>
    <t>Акт ПСК от 15.09.2015 № С/Ю 1972 Комм.осв. Отсутствует</t>
  </si>
  <si>
    <t>Акт ПСК № С/Ю 1996 от 12.10.2015. Расселен, отключен от эл/снабж.</t>
  </si>
  <si>
    <t>Акт ПСК от 12.01.14 №С/Ю 0700.  ПУ ком/освещ. Отсутствует.Расселен, отключен от э/сн</t>
  </si>
  <si>
    <t>КО нет Акт ПСК от 12.10.2015 № С/Ю 1996</t>
  </si>
  <si>
    <t>Акт ПСК С/Ю от 12.10.2015 г. расселен, эл/снабж. Отключено.</t>
  </si>
  <si>
    <t>Акт от 07.10.2015 Комм.осв нет</t>
  </si>
  <si>
    <t>01.03.2010 расселен. Акт от 07.10.2015 Комм.осв нет</t>
  </si>
  <si>
    <t>29.04.2013 расселен. Снят с ТО . Приказ ЖКС № 52 от 11.06.2015</t>
  </si>
  <si>
    <t>Договор ТО расторгнут 11.09.15</t>
  </si>
  <si>
    <t>Акт ПСК от 08.10.15 №С/Ю 2004 1 светильник наружн. освещ.</t>
  </si>
  <si>
    <t>Акт ПСК от 08.10.15 №С/Ю 2004 Коммун. освещение отсутствует</t>
  </si>
  <si>
    <t>Акт ПСК № 19/1996 от 12.10.2014. КО нет</t>
  </si>
  <si>
    <t>Акт ПСК от 12.01.14 №С/Ю 0700.  ПУ ком/освещ. Отсутствует. Акт ПСК № 19/1996 от 12.10.2014. Дом снесен.</t>
  </si>
  <si>
    <t>Акт ПСК № С/Ю 1996 от 12.10.2015.  КО 4 лампы. Технич возможности установки ПУ КО нет.</t>
  </si>
  <si>
    <t>Акт ПСк № С/Ю 2004 от 08.10.2015. ОДН  4 светильника. Площадь лестничн. Клетки 6кв. м.</t>
  </si>
  <si>
    <t>Договор ТО расторгнут 28.07.15. Акт ПСК № С/Ю 1996 от 12.10.2014. Дом снесен.</t>
  </si>
  <si>
    <t>Акт ПСК от 15.09.2015 № С/Ю 1972. 2 подъезда. 8 ламп накалив. ПУ нет. Возможности установки ПУ отсутствуют.</t>
  </si>
  <si>
    <t>Акт ПСК от 08.10.2015 №С/Ю 2004. Площ. МОП 16 кв.м.. 10 светильников</t>
  </si>
  <si>
    <t>Акт ПСК от 08.10.2015 №С/Ю 2004. Площ. МОП 8 кв.м.. 3 светильника</t>
  </si>
  <si>
    <t>Акт курортэнерго от 28.04.2015 № 2 009069 Дома расселены, отключены, вводы демонтированы</t>
  </si>
  <si>
    <t>Акт ПСК № С/Ю 2020 от 19.10.2015 Комм осв отсутствует</t>
  </si>
  <si>
    <t>Искл ПСК из Б/уч в осн дог по счетчику</t>
  </si>
  <si>
    <t>Акт №20-630/491ПЭК от 16.12.2015 Об/дом. нужды отсутствуют</t>
  </si>
  <si>
    <t>Акт №20-630/493ПЭК от 16.12.2015 Об/дом. нужды отсутствуют</t>
  </si>
  <si>
    <t>Акт №20-630/492ПЭК от 16.12.2015 Об/дом. нужды отсутствуют</t>
  </si>
  <si>
    <t>Акт №20-630/495ПЭК от 16.12.2015 Об/дом. нужды отсутствуют</t>
  </si>
  <si>
    <t>Акт №20-630/494ПЭК от 16.12.2015 Об/дом. нужды отсутствуют</t>
  </si>
  <si>
    <t>Акт №20-630/496ПЭК от 16.12.2015 Об/дом. нужды отсутствуют</t>
  </si>
  <si>
    <t>Акт №20-630/497ПЭК от 16.12.2015 Об/дом. нужды отсутствуют</t>
  </si>
  <si>
    <t>Сумма по дог № 10681 (250323)(в тч 10041)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</si>
  <si>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</si>
  <si>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</si>
  <si>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</si>
  <si>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</si>
  <si>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</si>
  <si>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</si>
  <si>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</si>
  <si>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</si>
  <si>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</si>
  <si>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</si>
  <si>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</si>
  <si>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</si>
  <si>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 xml:space="preserve">ЛЕСНАЯ 2-Я Г.ЗЕЛЕНОГОРСК д.4А 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</si>
  <si>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</si>
  <si>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</si>
  <si>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</si>
  <si>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</si>
  <si>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</si>
  <si>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</si>
  <si>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</si>
  <si>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</si>
  <si>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</si>
  <si>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</si>
  <si>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</si>
  <si>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 xml:space="preserve">ЛИНИЯ 6-Я СЕСТРОРЕЦК д.9 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</si>
  <si>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</si>
  <si>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</si>
  <si>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</si>
  <si>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 xml:space="preserve">ЛИНИЯ 9-Я АЛЕКСАНДРОВКА д.7 </t>
  </si>
  <si>
    <t xml:space="preserve">ЛОМАНАЯ УЛ. ЗЕЛЕНОГОРСК д.2 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</si>
  <si>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</si>
  <si>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</si>
  <si>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</si>
  <si>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</si>
  <si>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</si>
  <si>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</si>
  <si>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</si>
  <si>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</si>
  <si>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</si>
  <si>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</si>
  <si>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</si>
  <si>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</si>
  <si>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</si>
  <si>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</si>
  <si>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</si>
  <si>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</si>
  <si>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</si>
  <si>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</si>
  <si>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</si>
  <si>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</si>
  <si>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</si>
  <si>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</si>
  <si>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</si>
  <si>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</si>
  <si>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</si>
  <si>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</si>
  <si>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</si>
  <si>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</si>
  <si>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</si>
  <si>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</si>
  <si>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</si>
  <si>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</si>
  <si>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</si>
  <si>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</si>
  <si>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</si>
  <si>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</si>
  <si>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</si>
  <si>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</si>
  <si>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</si>
  <si>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</si>
  <si>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</si>
  <si>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</si>
  <si>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</si>
  <si>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</si>
  <si>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</si>
  <si>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</si>
  <si>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</si>
  <si>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</si>
  <si>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</si>
  <si>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</si>
  <si>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</si>
  <si>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</si>
  <si>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</si>
  <si>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</si>
  <si>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</si>
  <si>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</si>
  <si>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д.30 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</si>
  <si>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</si>
  <si>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</si>
  <si>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</si>
  <si>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</si>
  <si>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</si>
  <si>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</si>
  <si>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</si>
  <si>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</si>
  <si>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</si>
  <si>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</si>
  <si>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</si>
  <si>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</si>
  <si>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</si>
  <si>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>СК ГАРАНТ С 01.12.2015</t>
  </si>
  <si>
    <t>Дом СК ГАРАНТ с 01.12.2015г.</t>
  </si>
  <si>
    <t>РСУ Регион с 01.12.2015г.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</si>
  <si>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</si>
  <si>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</si>
  <si>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</si>
  <si>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</si>
  <si>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</si>
  <si>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</si>
  <si>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</si>
  <si>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</si>
  <si>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</si>
  <si>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</si>
  <si>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</si>
  <si>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</si>
  <si>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</si>
  <si>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</si>
  <si>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</si>
  <si>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</si>
  <si>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</si>
  <si>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</si>
  <si>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</si>
  <si>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</si>
  <si>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</si>
  <si>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</si>
  <si>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</si>
  <si>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</si>
  <si>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</si>
  <si>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</si>
  <si>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</si>
  <si>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</si>
  <si>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</si>
  <si>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</si>
  <si>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</si>
  <si>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</si>
  <si>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</si>
  <si>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</si>
  <si>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</si>
  <si>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</si>
  <si>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</si>
  <si>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</si>
  <si>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</si>
  <si>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</si>
  <si>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</si>
  <si>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</si>
  <si>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</si>
  <si>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</si>
  <si>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</si>
  <si>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</si>
  <si>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</si>
  <si>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</si>
  <si>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</si>
  <si>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</si>
  <si>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</si>
  <si>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</si>
  <si>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</si>
  <si>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</si>
  <si>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</si>
  <si>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</si>
  <si>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</si>
  <si>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</si>
  <si>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</si>
  <si>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</si>
  <si>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</si>
  <si>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</si>
  <si>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</si>
  <si>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</si>
  <si>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</si>
  <si>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</si>
  <si>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</si>
  <si>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</si>
  <si>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</si>
  <si>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</si>
  <si>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</si>
  <si>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</si>
  <si>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</si>
  <si>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</si>
  <si>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 xml:space="preserve">СЕВЕРНАЯ УЛ. ЗЕЛЕНОГОРСК д.6 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</si>
  <si>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</si>
  <si>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</si>
  <si>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</si>
  <si>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</si>
  <si>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</si>
  <si>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</si>
  <si>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</si>
  <si>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</si>
  <si>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</si>
  <si>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</si>
  <si>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</si>
  <si>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</si>
  <si>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</si>
  <si>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 xml:space="preserve">ТАРХОВСКАЯ 5-Я УЛ.РАЗЛИВ д.19 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</si>
  <si>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</si>
  <si>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</si>
  <si>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</si>
  <si>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</si>
  <si>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</si>
  <si>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</si>
  <si>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</si>
  <si>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</si>
  <si>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</si>
  <si>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</si>
  <si>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</si>
  <si>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</si>
  <si>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</si>
  <si>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</si>
  <si>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</si>
  <si>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</si>
  <si>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</si>
  <si>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</si>
  <si>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</si>
  <si>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</si>
  <si>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</si>
  <si>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</si>
  <si>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</si>
  <si>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</si>
  <si>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</si>
  <si>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</si>
  <si>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</si>
  <si>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</si>
  <si>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 xml:space="preserve">ФЕДОТОВСКАЯ ДОРОЖКА СЕСТ д.32 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</si>
  <si>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</si>
  <si>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</si>
  <si>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</si>
  <si>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</si>
  <si>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</si>
  <si>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</si>
  <si>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</si>
  <si>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</si>
  <si>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</si>
  <si>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</si>
  <si>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</si>
  <si>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</si>
  <si>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</si>
  <si>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</si>
  <si>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</si>
  <si>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</si>
  <si>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</si>
  <si>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</si>
  <si>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</si>
  <si>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</si>
  <si>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</si>
  <si>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</si>
  <si>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</si>
  <si>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</si>
  <si>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</si>
  <si>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</si>
  <si>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</si>
  <si>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</si>
  <si>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</si>
  <si>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</si>
  <si>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ДУБКОВСКОЕ ШОССЕ СЕС-ЦК д.5 </t>
  </si>
  <si>
    <t xml:space="preserve">МОРСКАЯ УЛ. СЕСТРОРЕЦК д.27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</si>
  <si>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</si>
  <si>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</si>
  <si>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</si>
  <si>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 xml:space="preserve">БЕРЕЗОВАЯ УЛ.ЗЕЛЕНОГОРСК д.19  </t>
  </si>
  <si>
    <t xml:space="preserve">Адресные начисления за потреблённую электрическую энергию на нужды коммунального освещения и электросиловую энергию </t>
  </si>
  <si>
    <t>Примечание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</si>
  <si>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</si>
  <si>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</si>
  <si>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</si>
  <si>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</si>
  <si>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</si>
  <si>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</si>
  <si>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</si>
  <si>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</si>
  <si>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</si>
  <si>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</si>
  <si>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</si>
  <si>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</si>
  <si>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ламп по б/у / счётчик;        Расселён / снят с т/о</t>
  </si>
  <si>
    <t>Стоимость согласно предъявленных счетов, руб.</t>
  </si>
  <si>
    <t>Общедомовой сч-к</t>
  </si>
  <si>
    <t>-</t>
  </si>
  <si>
    <t>сч-к</t>
  </si>
  <si>
    <t>сч-к (адм.)</t>
  </si>
  <si>
    <t>нет в управлении</t>
  </si>
  <si>
    <t>сч-к (+лифт)</t>
  </si>
  <si>
    <t>12 (сч-к)</t>
  </si>
  <si>
    <t>7 (сч-к)</t>
  </si>
  <si>
    <t>ЖСК</t>
  </si>
  <si>
    <t>1+1</t>
  </si>
  <si>
    <t>3 (рассел.)</t>
  </si>
  <si>
    <t>МОСИНА УЛ. СЕСТРОРЕЦК д.41</t>
  </si>
  <si>
    <t xml:space="preserve">ФЕДОТОВСКАЯ ДОРОЖКА СЕСТ д.19 </t>
  </si>
  <si>
    <t xml:space="preserve">КРАСНЫХ КОМАНДИРОВ ПР.З. д.34 </t>
  </si>
  <si>
    <t>Год</t>
  </si>
  <si>
    <t>ИТОГО:</t>
  </si>
  <si>
    <t>ПРИМОРСКОЕ ШОССЕ.ЗЕЛЕНОГОРСК д.502 корп. 5</t>
  </si>
  <si>
    <t>ВОКЗАЛЬНАЯ УЛ. ЗЕЛ-К д.35</t>
  </si>
  <si>
    <t>КОММУНАРОВ УЛ.СЕСТРОРЕЦК д.76</t>
  </si>
  <si>
    <t>КРАСНЫХ КОМАНДИРОВ ПР. СЕСТР д.4</t>
  </si>
  <si>
    <t>КРАСНЫХ КОМАНДИРОВ ПР.З. д.4</t>
  </si>
  <si>
    <t>КУЗНЕЧНАЯ УЛ.ЗЕЛЕНОГОРСК д.15</t>
  </si>
  <si>
    <t>ЛИНИЯ 4-Я СЕСТРОРЕЦК д.14</t>
  </si>
  <si>
    <t>ЛИНИЯ 4-Я СЕСТРОРЕЦК д.19</t>
  </si>
  <si>
    <t>ЛИНИЯ 5-Я АЛЕКСАНДРОВКА д.5A</t>
  </si>
  <si>
    <t>НАБ.РЕКИ СЕСТРЫ СЕС-К д.43</t>
  </si>
  <si>
    <t>ПРИМОРСКОЕ ШОССЕ.СЕСТР. д.198</t>
  </si>
  <si>
    <t>ПРИМОРСКОЕ ШОССЕ.СМОЛ-О д.680</t>
  </si>
  <si>
    <t xml:space="preserve">связи УЛ. ЗЕЛЕНОГОРСК д.12 </t>
  </si>
  <si>
    <t>ТОРФЯНАЯ УЛ. ЗЕЛЕНОГОРСК д.28/1</t>
  </si>
  <si>
    <t>ФЕДОТОВСКАЯ ДОРОЖКА СЕСТ д.10</t>
  </si>
  <si>
    <t>ФЕДОТОВСКАЯ ДОРОЖКА СЕСТ д.14</t>
  </si>
  <si>
    <t>ФЕДОТОВСКАЯ ДОРОЖКА СЕСТ д.22 А</t>
  </si>
  <si>
    <t xml:space="preserve">ФЕДОТОВСКАЯ ДОРОЖКА СЕСТ д.27А </t>
  </si>
  <si>
    <t>ЧЕРНИЧНАЯ УЛ. СЕСТРОРЕЦК д.3</t>
  </si>
  <si>
    <t>МОРСКАЯ УЛ. СЕСТРОРЕЦК д.31</t>
  </si>
  <si>
    <t xml:space="preserve">сч-к 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</si>
  <si>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</si>
  <si>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</si>
  <si>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</si>
  <si>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</si>
  <si>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</si>
  <si>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</si>
  <si>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</si>
  <si>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</si>
  <si>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по ООО "ЖКС Курортного района" в 2014 году</t>
  </si>
  <si>
    <t>СОЛНЕЧНАЯ УЛ. МОЛОДЕЖНОЕ д.5</t>
  </si>
  <si>
    <t>ПАРОВОЗНАЯ УЛ.ЗЕЛЕНОГОР. д.17</t>
  </si>
  <si>
    <t>ПЕСОЧНАЯ УЛ. РЕПИНО д.6а</t>
  </si>
  <si>
    <t>ПРИМОРСКОЕ ШОССЕ.СМОЛ-О д.704а</t>
  </si>
  <si>
    <t>БАССЕЙНАЯ УЛ.ЗЕЛЕНОГОРСК д.12А</t>
  </si>
  <si>
    <t>ВАЛИЕВА УЛ. КОМАРОВО д.6</t>
  </si>
  <si>
    <t>ВОКЗАЛЬНАЯ УЛ. ЗЕЛ-К д.21/1</t>
  </si>
  <si>
    <t>ВОКЗАЛЬНАЯ УЛ. ЗЕЛ-К д.27</t>
  </si>
  <si>
    <t>ВОКЗАЛЬНАЯ УЛ.УШКОВО д.38</t>
  </si>
  <si>
    <t>ВОССТАНИЯ УЛ.ЗЕЛЕНОГОРСК д.7 б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</si>
  <si>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</si>
  <si>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</si>
  <si>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</si>
  <si>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д.9</t>
  </si>
  <si>
    <t>ВЫБОРГСКАЯ УЛ. КОМАРОВО д.3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</si>
  <si>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</si>
  <si>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</si>
  <si>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</si>
  <si>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ГОСПИТАЛЬНАЯ УЛ.ЗЕЛЕНОГ. д.17</t>
  </si>
  <si>
    <t>ДАЧНАЯ 1-Я УЛ. КОМАРОВО д.48-50 корп.2</t>
  </si>
  <si>
    <t>ДАЧНАЯ 1-Я УЛ. КОМАРОВО д.48-50 корп.4</t>
  </si>
  <si>
    <t>ДЕТСКАЯ УЛ. УШКОВО д.37/7</t>
  </si>
  <si>
    <t>ЖЕЛЕЗНОДОРОЖНАЯ УЛ.БЕЛ-В д.17</t>
  </si>
  <si>
    <t>ЗАГОРОДНАЯ УЛ.ЗЕЛЕНОГОР. д.12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</si>
  <si>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</si>
  <si>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</si>
  <si>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</si>
  <si>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</si>
  <si>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</si>
  <si>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КАВАЛЕРИЙСКАЯ УЛ.ЗЕЛЕНОГ д.14А</t>
  </si>
  <si>
    <t>КАВАЛЕРИЙСКАЯ УЛ.ЗЕЛЕНОГ д.24А</t>
  </si>
  <si>
    <t>КОННАЯ УЛ. ЗЕЛЕНОГОРСК д.8</t>
  </si>
  <si>
    <t>КОННАЯ УЛ. ЗЕЛЕНОГОРСК д.14</t>
  </si>
  <si>
    <t>КРАСНОАРМЕЙСКАЯ УЛ.ЗЕЛ-К д.25</t>
  </si>
  <si>
    <t>КРАСНОАРМЕЙСКАЯ УЛ.ЗЕЛ-К д.26</t>
  </si>
  <si>
    <t>КРАСНОАРМЕЙСКАЯ УЛ.ЗЕЛ-К д.6/1</t>
  </si>
  <si>
    <t>КРАСНЫЙ ПЕР. ЗЕЛЕНОГОРСК д.5</t>
  </si>
  <si>
    <t>КРАСНЫХ КОМАНДИРОВ ПР. СЕСТР д.23 корп.б</t>
  </si>
  <si>
    <t>КРАСНЫХ КОМАНДИРОВ ПР.З. д.20/2</t>
  </si>
  <si>
    <t>КРАСНЫХ КОМАНДИРОВ ПР.З. д.28/2</t>
  </si>
  <si>
    <t>КРАСНЫХ КОМАНДИРОВ ПР.З. д.29</t>
  </si>
  <si>
    <t>КРАСНЫХ КОМАНДИРОВ ПР.З. д.29А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</si>
  <si>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</si>
  <si>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</si>
  <si>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</si>
  <si>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ЛЕСНАЯ 1-Я УЛ ЗЕЛ-К д.31</t>
  </si>
  <si>
    <t>ЛЕСНАЯ 1-Я УЛ ЗЕЛ-К д.35</t>
  </si>
  <si>
    <t>ЛИНИЯ 7-Я АЛЕКСАНДРОВКА д.3</t>
  </si>
  <si>
    <t>ЛОМАНАЯ УЛ. ЗЕЛЕНОГОРСК д.1</t>
  </si>
  <si>
    <t>ЛОМАНАЯ УЛ. ЗЕЛЕНОГОРСК д.5</t>
  </si>
  <si>
    <t>МАЛАЯ СОВЕТСКАЯ УЛ.ПОС.СОЛНЕЧНОЕ д.9</t>
  </si>
  <si>
    <t>МОРСКАЯ УЛ. СЕСТРОРЕЦК д.32</t>
  </si>
  <si>
    <t>МОСИНА УЛ. СЕСТРОРЕЦК д.18</t>
  </si>
  <si>
    <t>НОВАЯ 1-Я УЛ. РЕПИНО д.9</t>
  </si>
  <si>
    <t>НОВАЯ 2-Я УЛ. РЕПИНО д.8/8</t>
  </si>
  <si>
    <t>ПАРОВОЗНАЯ УЛ.ЗЕЛЕНОГОР. д.13</t>
  </si>
  <si>
    <t>ПЕРЕПАДСКАЯ НАБ.СЕСТРОР. д.21</t>
  </si>
  <si>
    <t>ПИСЕМСКОГО УЛ.СЕСТРОРЕЦК д.2 корп.8</t>
  </si>
  <si>
    <t>ПОЧТОВЫЙ ПЕР.УШКОВО д.29</t>
  </si>
  <si>
    <t>ПРИМОРСКОЕ ШОССЕ ПОС.МОЛОДЕЖНОЕ д.644В</t>
  </si>
  <si>
    <t>ПРИМОРСКОЕ ШОССЕ.СЕСТР. д.192</t>
  </si>
  <si>
    <t>ПРИМОРСКОЕ ШОССЕ.СМОЛ-О д.684</t>
  </si>
  <si>
    <t>ПУТЕЙСКАЯ УЛ.ЗЕЛЕНОГОРСК д.5</t>
  </si>
  <si>
    <t>РОЩИНСКОЕ ШОССЕ СЕРОВО д.5А</t>
  </si>
  <si>
    <t>СЕВЕРНАЯ УЛ. ЗЕЛЕНОГОРСК д.5</t>
  </si>
  <si>
    <t>СЕВЕРНАЯ УЛ. ЗЕЛЕНОГОРСК д.7</t>
  </si>
  <si>
    <t>СОВЕТСКИЙ ПР.СЕСТР-К д.53</t>
  </si>
  <si>
    <t>СРЕДНИЙ ПР. ЗЕЛЕНОГОРСК д.12</t>
  </si>
  <si>
    <t>СТРОИТЕЛЕЙ УЛ.ЗЕЛЕНОГОР. д.5</t>
  </si>
  <si>
    <t>ПРИМОРСКОЕ ШОССЕ РЕПИНО д.423 корп.1</t>
  </si>
  <si>
    <t>ТЕАТРАЛЬНАЯ УЛ.ЗЕЛЕНОГОР д.5</t>
  </si>
  <si>
    <t>ТОРФЯНАЯ УЛ. ЗЕЛЕНОГОРСК д.9а</t>
  </si>
  <si>
    <t>ФЕДОТОВСКАЯ ДОРОЖКА СЕСТ д.29</t>
  </si>
  <si>
    <t>ФИНЛЯНДСКАЯ УЛ. РЕПИНО д.11</t>
  </si>
  <si>
    <t>ХВОЙНАЯ УЛ. ЗЕЛЕНОГОРСК д.13</t>
  </si>
  <si>
    <t>ХВОЙНАЯ УЛ. ЗЕЛЕНОГОРСК д.26</t>
  </si>
  <si>
    <t>ЦЕНТРАЛЬНАЯ УЛ.ДЮНЫ д.12А</t>
  </si>
  <si>
    <t>Сумма по дог № 53959 (Красавица)</t>
  </si>
  <si>
    <t>Сумма по дог № 10513 (по счету РЖА)</t>
  </si>
  <si>
    <t>Всего по договорам:</t>
  </si>
  <si>
    <t>33(сч-к)</t>
  </si>
  <si>
    <t>35 (сч-к)</t>
  </si>
  <si>
    <t>24 (сч-к)</t>
  </si>
  <si>
    <t>23(сч-к)</t>
  </si>
  <si>
    <t>31(сч-к)</t>
  </si>
  <si>
    <t>сч-к (31+1)</t>
  </si>
  <si>
    <t>Пр №5 от 22.01.2015 Снятие с учета и ТО расселенных жилых домов</t>
  </si>
  <si>
    <t>Акт ПСК от 28.01.14 №С/Ю 0707 Коммун. освещение отсутствует</t>
  </si>
  <si>
    <t>комм/освещ нет</t>
  </si>
  <si>
    <t>3 лампы</t>
  </si>
  <si>
    <t>Акт ПСК от 28.01.14 №С/Ю 0707. Дом расселяется. ПУ ком/освещ. Отсутствует.</t>
  </si>
  <si>
    <t>Дорога к шалашу Ленина, д.2 лит Б</t>
  </si>
  <si>
    <t>5 ламп</t>
  </si>
  <si>
    <t>Акт ПСК от 28.01.14 №С/Ю 0707.  ПУ ком/освещ. Отсутствует.</t>
  </si>
  <si>
    <t>Акт ПСК от 12.01.14 №С/Ю 0700.  ПУ ком/освещ. Отсутствует.</t>
  </si>
  <si>
    <t>по ООО "ЖКС Курортного района" в 2015 году</t>
  </si>
  <si>
    <t>КРАСНЫХ КОМАНДИРОВ ПР.З. д.19</t>
  </si>
  <si>
    <t>ПРИМОРСКОЕ ШОССЕ.ЗЕЛЕНОГОРСК д.595а</t>
  </si>
  <si>
    <t xml:space="preserve"> </t>
  </si>
  <si>
    <t>Сумма по дог № 10681 (в тч 10041)</t>
  </si>
  <si>
    <t>Исключен из договора с с 27.01.15</t>
  </si>
  <si>
    <t>Исключен из договора с с 27.01.16</t>
  </si>
  <si>
    <t>л/сч закрыты 01.04.2013</t>
  </si>
  <si>
    <t>Исключен из договора с 27.01.2015</t>
  </si>
  <si>
    <t>снят с ТО . ОВиР 05.11.12</t>
  </si>
  <si>
    <t xml:space="preserve"> Адрес</t>
  </si>
  <si>
    <t>АВИАЦИОННАЯ УЛ. ЗЕЛ-СК д.10</t>
  </si>
  <si>
    <t>АВИАЦИОННАЯ УЛ. ЗЕЛ-СК д.6</t>
  </si>
  <si>
    <t>06.11.2013 расселен</t>
  </si>
  <si>
    <t>БАССЕЙНАЯ УЛ.ЗЕЛЕНОГОРСК д.11</t>
  </si>
  <si>
    <t>БАССЕЙНАЯ УЛ.ЗЕЛЕНОГОРСК д.7</t>
  </si>
  <si>
    <t>БАССЕЙНАЯ УЛ.ЗЕЛЕНОГОРСК д.8</t>
  </si>
  <si>
    <t>БЕРЕЗОВАЯ УЛ.ЗЕЛЕНОГОРСК д.5</t>
  </si>
  <si>
    <t>БЕРЕЗОВАЯ УЛ.ЗЕЛЕНОГОРСК д.19             до</t>
  </si>
  <si>
    <t>БОЛЬШАЯ ГОРСКАЯ УЛ.СЕСТР-К д.1</t>
  </si>
  <si>
    <t>БОЛЬШАЯ ГОРСКАЯ УЛ.СЕСТР-К д.43</t>
  </si>
  <si>
    <t>БОЛЬШОЙ  ПР. РЕПИНО д.51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</si>
  <si>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</si>
  <si>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</si>
  <si>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</si>
  <si>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</si>
  <si>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</si>
  <si>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</si>
  <si>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ВЛАДИМИРСКИЙ ПР.ГОРСКАЯ д.9</t>
  </si>
  <si>
    <t>ВОКЗАЛЬНАЯ УЛ. ЗЕЛ-К д.33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</si>
  <si>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</si>
  <si>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</si>
  <si>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</si>
  <si>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</si>
  <si>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</si>
  <si>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</si>
  <si>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</si>
  <si>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</si>
  <si>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</si>
  <si>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</si>
  <si>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</si>
  <si>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</si>
  <si>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</si>
  <si>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</si>
  <si>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135,3 м2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</si>
  <si>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</si>
  <si>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</si>
  <si>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</si>
  <si>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</si>
  <si>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</si>
  <si>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</si>
  <si>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</si>
  <si>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</si>
  <si>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</si>
  <si>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</si>
  <si>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</si>
  <si>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</si>
  <si>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</si>
  <si>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</si>
  <si>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</si>
  <si>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</si>
  <si>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</si>
  <si>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</si>
  <si>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</si>
  <si>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</si>
  <si>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</si>
  <si>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</si>
  <si>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</si>
  <si>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</si>
  <si>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</si>
  <si>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</si>
  <si>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</si>
  <si>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</si>
  <si>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</si>
  <si>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</si>
  <si>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</si>
  <si>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</si>
  <si>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</si>
  <si>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</si>
  <si>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 xml:space="preserve">ВОССТАНИЯ УЛ.ЗЕЛЕНОГОРСК д.7 </t>
  </si>
  <si>
    <t>ВОССТАНИЯ УЛ.ЗЕЛЕНОГОРСК д.18</t>
  </si>
  <si>
    <t>04.12.2013 расселен</t>
  </si>
  <si>
    <t>4л</t>
  </si>
  <si>
    <t>ВОСТОЧНАЯ УЛ.П.БЕЛООСТРОВ д.11а</t>
  </si>
  <si>
    <t>ВОСТОЧНАЯ УЛ.П.БЕЛООСТРОВ д.13</t>
  </si>
  <si>
    <t>3л</t>
  </si>
  <si>
    <t>ВОСТОЧНАЯ УЛ.П.БЕЛООСТРОВ д.4</t>
  </si>
  <si>
    <t>49,9м2</t>
  </si>
  <si>
    <t>ВОСТОЧНАЯ УЛ.П.БЕЛООСТРОВ д.4А</t>
  </si>
  <si>
    <t>53м2</t>
  </si>
  <si>
    <t>ВОСТОЧНАЯ УЛ.П.БЕЛООСТРОВ д.5</t>
  </si>
  <si>
    <t>ВОСТОЧНАЯ УЛ.П.БЕЛООСТРОВ д.9А</t>
  </si>
  <si>
    <t>ВЫБОРГСКАЯ УЛ. КОМАРОВО д.1</t>
  </si>
  <si>
    <t>ГОРНАЯ УЛ. КОМАРОВО д.3</t>
  </si>
  <si>
    <t>ГОСПИТАЛЬНАЯ УЛ.ЗЕЛЕНОГ. д.5</t>
  </si>
  <si>
    <t>ГОСПИТАЛЬНАЯ УЛ.ЗЕЛЕНОГ. д.7</t>
  </si>
  <si>
    <t>26.02.2014 расселен</t>
  </si>
  <si>
    <t>ГРИГОРЬЕВА УЛ.СЕСТРОРЕЦК д.18/6</t>
  </si>
  <si>
    <t>расселен</t>
  </si>
  <si>
    <t>ГРОМЫХАЛОВА УЛ. КОМАРОВО д.16А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</si>
  <si>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</si>
  <si>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</si>
  <si>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</si>
  <si>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</si>
  <si>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корп.3</t>
  </si>
  <si>
    <t>ДЕПОВСКИЙ ПЕР.ЗЕЛЕНОГ. д.4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</si>
  <si>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</si>
  <si>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</si>
  <si>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</si>
  <si>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</si>
  <si>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</si>
  <si>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</si>
  <si>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</si>
  <si>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</si>
  <si>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</si>
  <si>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д.6</t>
  </si>
  <si>
    <t>15.05.2013 расселен</t>
  </si>
  <si>
    <t>ЕРМОЛОВСКИЙ ПР.СЕСТРОР д.30</t>
  </si>
  <si>
    <t>ЖЕЛЕЗНОДОРОЖНАЯ УЛ.РЕПИНО д.2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</si>
  <si>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</si>
  <si>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</si>
  <si>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</si>
  <si>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</si>
  <si>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</si>
  <si>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</si>
  <si>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</si>
  <si>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</si>
  <si>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</si>
  <si>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</si>
  <si>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</si>
  <si>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ЗООЛОГИЧЕСКАЯ УЛ.СЕС-ЦК д.19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</si>
  <si>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</si>
  <si>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</si>
  <si>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</si>
  <si>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</si>
  <si>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</si>
  <si>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</si>
  <si>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</si>
  <si>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дом сгорел 01.06.2015. . Акт ПСК № 20-630/544 ПЭК от 30.12.2015 Эл/снабж не осущ.</t>
  </si>
  <si>
    <t xml:space="preserve"> Акт ПСК № 20-630/543 ПЭК от 30.12.2015  ОДН отсутствуют.</t>
  </si>
  <si>
    <t xml:space="preserve"> Акт ПСК № 20-630/541 ПЭК от 30.12.2015  ОДН отсутствуют.</t>
  </si>
  <si>
    <t xml:space="preserve"> Акт ПСК № 20-630/540 ПЭК от 30.12.2015  ОДН отсутствуют.</t>
  </si>
  <si>
    <t xml:space="preserve"> Акт ПСК № 20-630/537 ПЭК от 30.12.2015  ОДН отсутствуют.</t>
  </si>
  <si>
    <t xml:space="preserve"> Акт ПСК № 20-634/657 ПЭК/Ю от 23.12.2015  Дом отсутствует. Подключений к сетям ЗАО "Курортэнерго" нет. ОДН отсутствуют.</t>
  </si>
  <si>
    <t xml:space="preserve"> Акт ПСК № 20-634/656 ПЭК/Ю от 23.12.2015  Дом расселен. Подключений к сетям ЗАО "Курортэнерго" нет. ОДН отсутствуют.</t>
  </si>
  <si>
    <t xml:space="preserve"> Акт ПСК № 20-634/658 ПЭК/Ю от 23.12.2015 ОДН отсутствуют.</t>
  </si>
  <si>
    <t>Акт № 20-630/538 ПЭК от 30.12.15 ОДН 4 светильника (3 на лест кл, 1 наружн освещ)</t>
  </si>
  <si>
    <t>Акт ПСК № 20-634/652 ПЭК/Ю от 22.12.15 ПУ отсутствует. Установить ПУ не позже 24 мес.</t>
  </si>
  <si>
    <t>Акт ПСК № 20-630/542 ПЭК от 30.12.15. ОДН 4 светильника.</t>
  </si>
  <si>
    <t>КАВАЛЕРИЙСКАЯ УЛ.ЗЕЛЕНОГ д.28</t>
  </si>
  <si>
    <t>11.02.2014 расселен</t>
  </si>
  <si>
    <t>КАВАЛЕРИЙСКАЯ УЛ.ЗЕЛЕНОГ д.5</t>
  </si>
  <si>
    <t>КАВАЛЕРИЙСКАЯ УЛ.ЗЕЛЕНОГ д.6</t>
  </si>
  <si>
    <t>КАВАЛЕРИЙСКАЯ УЛ.ЗЕЛЕНОГ д.8</t>
  </si>
  <si>
    <t>11.07.2013 расселен</t>
  </si>
  <si>
    <t>КОЛХОЗНАЯ УЛ. СОЛНЕЧНОЕ д.7</t>
  </si>
  <si>
    <t>КОМЕНДАНТСКАЯ УЛ. ЗЕЛ-К д.1</t>
  </si>
  <si>
    <t>КОМЕНДАНТСКАЯ УЛ. ЗЕЛ-К д.3</t>
  </si>
  <si>
    <t>КОМЕНДАНТСКАЯ УЛ. ЗЕЛ-К д.5/10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</si>
  <si>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</si>
  <si>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</si>
  <si>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</si>
  <si>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</si>
  <si>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</si>
  <si>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</si>
  <si>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</si>
  <si>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</si>
  <si>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</si>
  <si>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</si>
  <si>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</si>
  <si>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д.21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</si>
  <si>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</si>
  <si>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</si>
  <si>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</si>
  <si>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</si>
  <si>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</si>
  <si>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</si>
  <si>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д.10А</t>
  </si>
  <si>
    <t>14.07.2014 расселен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</si>
  <si>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</si>
  <si>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</si>
  <si>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</si>
  <si>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</si>
  <si>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</si>
  <si>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</si>
  <si>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</si>
  <si>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</si>
  <si>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</si>
  <si>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</si>
  <si>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</si>
  <si>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</si>
  <si>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</si>
  <si>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</si>
  <si>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</si>
  <si>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</si>
  <si>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д.24А</t>
  </si>
  <si>
    <t>КРАСНЫЙ ПЕР. ЗЕЛЕНОГОРСК д.5/15</t>
  </si>
  <si>
    <t>3.11 расселен</t>
  </si>
  <si>
    <t>КРАСНЫХ КОМАНДИРОВ ПР.З. д.15Б</t>
  </si>
  <si>
    <t>КРАСНЫХ КОМАНДИРОВ ПР.З. д.23</t>
  </si>
  <si>
    <t>30.08.2013 расселен</t>
  </si>
  <si>
    <t>КРАСНЫХ КОМАНДИРОВ ПР.З. д.30/1</t>
  </si>
  <si>
    <t>КРАСНЫХ КОМАНДИРОВ ПР.З. д.34</t>
  </si>
  <si>
    <t>04.07.2014 расселен</t>
  </si>
  <si>
    <t>КРАСНЫХ КОМАНДИРОВ ПР.З. д.40</t>
  </si>
  <si>
    <t>искл из дог 10681 с 01.01.2015</t>
  </si>
  <si>
    <t>КРАСНЫХ КОМАНДИРОВ ПР.З. д.47</t>
  </si>
  <si>
    <t>КРАСНЫХ КУРСАНТОВ УЛ.ЗЕЛ д.21</t>
  </si>
  <si>
    <t>КРАСНЫХ КУРСАНТОВ УЛ.ЗЕЛ д.5</t>
  </si>
  <si>
    <t>29.09.2014 расселен. Искл из дог с 01.01.2015</t>
  </si>
  <si>
    <t>КРУГЛАЯ УЛ. ЗЕЛЕНОГОРСК д.7</t>
  </si>
  <si>
    <t>2л</t>
  </si>
  <si>
    <t>КУДРИНСКАЯ УЛ. КОМАРОВО д.10/3</t>
  </si>
  <si>
    <t>КУЗНЕЧНАЯ УЛ.ЗЕЛЕНОГОРСК д.11</t>
  </si>
  <si>
    <t>15.07.2014 расселен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</si>
  <si>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</si>
  <si>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</si>
  <si>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</si>
  <si>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</si>
  <si>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</si>
  <si>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</si>
  <si>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</si>
  <si>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</si>
  <si>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</si>
  <si>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</si>
  <si>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</si>
  <si>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</si>
  <si>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</si>
  <si>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</si>
  <si>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</si>
  <si>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</si>
  <si>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д.15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</si>
  <si>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</si>
  <si>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</si>
  <si>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</si>
  <si>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</si>
  <si>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</si>
  <si>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</si>
  <si>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</si>
  <si>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</si>
  <si>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</si>
  <si>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</si>
  <si>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</si>
  <si>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</si>
  <si>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</si>
  <si>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</si>
  <si>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</si>
  <si>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</si>
  <si>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д.14</t>
  </si>
  <si>
    <t>ЛИНИЯ 2-Я СЕСТРОРЕЦК д.5</t>
  </si>
  <si>
    <t>22.01.2014 расселен</t>
  </si>
  <si>
    <t>ЛИНИЯ 2-Я СЕСТРОРЕЦК д.8А</t>
  </si>
  <si>
    <t>ЛИНИЯ 3-Я АЛЕКСАНДРОВКА д.10</t>
  </si>
  <si>
    <t>Искл из дог 10681 с 01.01.15</t>
  </si>
  <si>
    <t>ЛИНИЯ 3-Я АЛЕКСАНДРОВКА д.12</t>
  </si>
  <si>
    <t>ЛИНИЯ 3-Я АЛЕКСАНДРОВКА д.5</t>
  </si>
  <si>
    <t>ЛИНИЯ 3-Я АЛЕКСАНДРОВКА д.8</t>
  </si>
  <si>
    <t>01.03.2010 расселен</t>
  </si>
  <si>
    <t>ЛИНИЯ 4-Я СЕСТРОРЕЦК д.14А</t>
  </si>
  <si>
    <t>ЛИНИЯ 5-Я АЛЕКСАНДРОВКА д.5</t>
  </si>
  <si>
    <t>ЛИНИЯ 5-Я АЛЕКСАНДРОВКА д.5А</t>
  </si>
  <si>
    <t>29.04.2013 расселен</t>
  </si>
  <si>
    <t>ЛИНИЯ 5-Я АЛЕКСАНДРОВКА д.9</t>
  </si>
  <si>
    <t>ЛИНИЯ 6-Я СЕСТРОРЕЦК д.9</t>
  </si>
  <si>
    <t>ЛИНИЯ 7-Я АЛЕКСАНДРОВКА д.7</t>
  </si>
  <si>
    <t>ЛИНИЯ 7-Я АЛЕКСАНДРОВКА д.9</t>
  </si>
  <si>
    <t>ЛИНИЯ 9-Я АЛЕКСАНДРОВКА д.7</t>
  </si>
  <si>
    <t>ЛИНИЯ 10-Я АЛЕКСАНДРОВКА д.1/6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</si>
  <si>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</si>
  <si>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</si>
  <si>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</si>
  <si>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</si>
  <si>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д.19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</si>
  <si>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</si>
  <si>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</si>
  <si>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</si>
  <si>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</si>
  <si>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</si>
  <si>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МИРА УЛ. ЗЕЛЕНОГОРСК д.1</t>
  </si>
  <si>
    <t>06.02.2014 расселен</t>
  </si>
  <si>
    <t>МОРСКАЯ УЛ. СЕСТРОРЕЦК д.14</t>
  </si>
  <si>
    <t>МОРСКАЯ УЛ. СЕСТРОРЕЦК д.15</t>
  </si>
  <si>
    <t>МОРСКАЯ УЛ. СЕСТРОРЕЦК д.26</t>
  </si>
  <si>
    <t>14.11.2013 расселен</t>
  </si>
  <si>
    <t>МОРСКАЯ УЛ. СЕСТРОРЕЦК д.26А</t>
  </si>
  <si>
    <t>МОРСКАЯ УЛ. СЕСТРОРЕЦК д.27</t>
  </si>
  <si>
    <t>МОСИНА УЛ. СЕСТРОРЕЦК д.1</t>
  </si>
  <si>
    <t>МОСИНА УЛ. СЕСТРОРЕЦК д.106</t>
  </si>
  <si>
    <t>МОСИНА УЛ. СЕСТРОРЕЦК д.3</t>
  </si>
  <si>
    <t>МОСИНА УЛ. СЕСТРОРЕЦК д.5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</si>
  <si>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</si>
  <si>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</si>
  <si>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</si>
  <si>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</si>
  <si>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</si>
  <si>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</si>
  <si>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</si>
  <si>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д.45</t>
  </si>
  <si>
    <t>28.03.2014 расселен</t>
  </si>
  <si>
    <t>НАБ.РЕКИ СЕСТРЫ СЕС-К д.5</t>
  </si>
  <si>
    <t>НАБ.РЕКИ СЕСТРЫ СЕС-К д.7</t>
  </si>
  <si>
    <t>НАБ.РЕКИ СЕСТРЫ СЕС-К д.9</t>
  </si>
  <si>
    <t>НОВАЯ СЛОБОДА д.13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</si>
  <si>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</si>
  <si>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</si>
  <si>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</si>
  <si>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</si>
  <si>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</si>
  <si>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</si>
  <si>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46,3 м2</t>
  </si>
  <si>
    <t>19,5 м2</t>
  </si>
  <si>
    <t>46,4 м2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</si>
  <si>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</si>
  <si>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</si>
  <si>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</si>
  <si>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</si>
  <si>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</si>
  <si>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</si>
  <si>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</si>
  <si>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</si>
  <si>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</si>
  <si>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ПЕРЕПАДСКАЯ НАБ.СЕСТРОР. д.19</t>
  </si>
  <si>
    <t>ПЕСОЧНАЯ УЛ. РЕПИНО д.10</t>
  </si>
  <si>
    <t>ПЕСОЧНАЯ УЛ. РЕПИНО д.6А</t>
  </si>
  <si>
    <t>сч в БУ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</si>
  <si>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</si>
  <si>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</si>
  <si>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</si>
  <si>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</si>
  <si>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</si>
  <si>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</si>
  <si>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</si>
  <si>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</si>
  <si>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</si>
  <si>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</si>
  <si>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ПОЛЕВАЯ УЛ. ЗЕЛЕНОГОРСК д.3</t>
  </si>
  <si>
    <t>28.02.2014 расселен</t>
  </si>
  <si>
    <t>ПОЛЕВАЯ УЛ. МОЛОДЕЖНОЕ д.4</t>
  </si>
  <si>
    <t>ПОЧТОВЫЙ ПЕР.УШКОВО д.24</t>
  </si>
  <si>
    <t>ПРАВДЫ ПЕР. МОЛОДЕЖНОЕ д.3</t>
  </si>
  <si>
    <t>23.11.2012 расселен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</si>
  <si>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</si>
  <si>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</si>
  <si>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</si>
  <si>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</si>
  <si>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</si>
  <si>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</si>
  <si>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</si>
  <si>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</si>
  <si>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</si>
  <si>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</si>
  <si>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</si>
  <si>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ПРИМОРСКОЕ ШОССЕ.ЗЕЛЕНОГОРСК д.502 корп.5</t>
  </si>
  <si>
    <t>ПРИМОРСКОЕ ШОССЕ.ЗЕЛЕНОГОРСК д.533</t>
  </si>
  <si>
    <t>ПРИМОРСКОЕ ШОССЕ.ЗЕЛЕНОГОРСК д.539</t>
  </si>
  <si>
    <t>05.02.2013 расселен</t>
  </si>
  <si>
    <t>ПРИМОРСКОЕ ШОССЕ.ЗЕЛЕНОГОРСК д.550</t>
  </si>
  <si>
    <t>ПРИМОРСКОЕ ШОССЕ.ЗЕЛЕНОГОРСК д.553</t>
  </si>
  <si>
    <t>ПРИМОРСКОЕ ШОССЕ.ЗЕЛЕНОГОРСК д.565</t>
  </si>
  <si>
    <t>ПРИМОРСКОЕ ШОССЕ.ЗЕЛЕНОГОРСК д.577</t>
  </si>
  <si>
    <t>ПРИМОРСКОЕ ШОССЕ.ЗЕЛЕНОГОРСК д.599</t>
  </si>
  <si>
    <t>10.06.2011 расселен</t>
  </si>
  <si>
    <t>ПРИМОРСКОЕ ШОССЕ.СЕСТР. д.200</t>
  </si>
  <si>
    <t>ПРИМОРСКОЕ ШОССЕ.СЕСТР. д.248</t>
  </si>
  <si>
    <t>ПРИМОРСКОЕ ШОССЕ.СЕСТР. д.250</t>
  </si>
  <si>
    <t>ПРИМОРСКОЕ ШОССЕ.СЕСТР. д.261 корп.2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</si>
  <si>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</si>
  <si>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</si>
  <si>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</si>
  <si>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</si>
  <si>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</si>
  <si>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</si>
  <si>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</si>
  <si>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</si>
  <si>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</si>
  <si>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</si>
  <si>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</si>
  <si>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</si>
  <si>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</si>
  <si>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</si>
  <si>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</si>
  <si>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</si>
  <si>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д.302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</si>
  <si>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</si>
  <si>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</si>
  <si>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</si>
  <si>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д.312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</si>
  <si>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</si>
  <si>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</si>
  <si>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</si>
  <si>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</si>
  <si>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</si>
  <si>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</si>
  <si>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</si>
  <si>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</si>
  <si>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</si>
  <si>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</si>
  <si>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</si>
  <si>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</si>
  <si>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</si>
  <si>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</si>
  <si>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</si>
  <si>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</si>
  <si>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</si>
  <si>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</si>
  <si>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ПРИМОРСКОЕ ШОССЕ ПОС.МОЛОДЕЖНОЕ д.667</t>
  </si>
  <si>
    <t>5л</t>
  </si>
  <si>
    <t>ПРИМОРСКОЕ ШОССЕ.СМОЛ-О д.694</t>
  </si>
  <si>
    <t>ПРИМОРСКОЕ ШОССЕ.СМОЛ-О д.699</t>
  </si>
  <si>
    <t>1л</t>
  </si>
  <si>
    <t>ПРИМОРСКОЕ ШОССЕ.СМОЛ-О д.699а</t>
  </si>
  <si>
    <t>ПУТЕЙСКАЯ УЛ.ЗЕЛЕНОГОРСК д.12А</t>
  </si>
  <si>
    <t>07.03.2014 расселен</t>
  </si>
  <si>
    <t>ПУШКИНСКАЯ УЛ. СЕСТРОРЕЦК д.17б</t>
  </si>
  <si>
    <t>РАЗЪЕЗЖАЯ УЛ.ЗЕЛЕНОГОРСК д.11</t>
  </si>
  <si>
    <t>РЕЧНОЙ ПЕР. ЗЕЛЕНОГОРСК д.3</t>
  </si>
  <si>
    <t>РОЩИНСКОЕ ШОССЕ СЕРОВО д.1</t>
  </si>
  <si>
    <t>РОЩИНСКОЕ ШОССЕ УШКОВО д.42А</t>
  </si>
  <si>
    <t>СВЯЗИ УЛ. ЗЕЛЕНОГОРСК д.12</t>
  </si>
  <si>
    <t>29.04.2011 расселен</t>
  </si>
  <si>
    <t>СЕВЕРНАЯ УЛ. ЗЕЛЕНОГОРСК д.1/26</t>
  </si>
  <si>
    <t>СЕВЕРНАЯ УЛ. ЗЕЛЕНОГОРСК д.6</t>
  </si>
  <si>
    <t>СЕВЕРНАЯ УЛ. КОМАРОВО д.7/5</t>
  </si>
  <si>
    <t>СОВЕТСКИЙ ПР.СЕСТР-К д.1</t>
  </si>
  <si>
    <t>СОВЕТСКИЙ ПР.СЕСТРОРЕЦК д.17</t>
  </si>
  <si>
    <t>СОВЕТСКИЙ ПР.СЕСТРОРЕЦК д.19</t>
  </si>
  <si>
    <t>СОВЕТСКИЙ ПР.СЕСТРОРЕЦК д.5</t>
  </si>
  <si>
    <t>СОСТЯЗАНИЙ УЛ.ЗЕЛЕНОГОРСК д.10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</si>
  <si>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</si>
  <si>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</si>
  <si>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</si>
  <si>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</si>
  <si>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</si>
  <si>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</si>
  <si>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</si>
  <si>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28.12.2012 расселен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</si>
  <si>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</si>
  <si>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</si>
  <si>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</si>
  <si>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</si>
  <si>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</si>
  <si>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</si>
  <si>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</si>
  <si>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</si>
  <si>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</si>
  <si>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</si>
  <si>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</si>
  <si>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</si>
  <si>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</si>
  <si>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</si>
  <si>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д.12</t>
  </si>
  <si>
    <t>ТОРФЯНАЯ УЛ. ЗЕЛЕНОГОРСК д.14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</si>
  <si>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</si>
  <si>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</si>
  <si>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</si>
  <si>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</si>
  <si>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д.10</t>
  </si>
  <si>
    <t>ФАБРИЧНАЯ УЛ.ЗЕЛЕНОГОРСК д.2</t>
  </si>
  <si>
    <t>ФЕДОТОВСКАЯ ДОРОЖКА СЕСТ д.16</t>
  </si>
  <si>
    <t>ФЕДОТОВСКАЯ ДОРОЖКА СЕСТ д.19</t>
  </si>
  <si>
    <t>ФЕДОТОВСКАЯ ДОРОЖКА СЕСТ д.23А</t>
  </si>
  <si>
    <t>ФЕДОТОВСКАЯ ДОРОЖКА СЕСТ д.32</t>
  </si>
  <si>
    <t>28.04.2014 расселен</t>
  </si>
  <si>
    <t>ФЕДОТОВСКАЯ ДОРОЖКА СЕСТ д.37</t>
  </si>
  <si>
    <t>46,5 м2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</si>
  <si>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</si>
  <si>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</si>
  <si>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</si>
  <si>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</si>
  <si>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</si>
  <si>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</si>
  <si>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</si>
  <si>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</si>
  <si>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</si>
  <si>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</si>
  <si>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</si>
  <si>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</si>
  <si>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</si>
  <si>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</si>
  <si>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</si>
  <si>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</si>
  <si>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</si>
  <si>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</si>
  <si>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</si>
  <si>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</si>
  <si>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ЭКИПАЖНАЯ УЛ.ЗЕЛЕНОГОРСК д.1</t>
  </si>
  <si>
    <t>30.01.2014 расселен</t>
  </si>
  <si>
    <t>ЮЖНАЯ УЛ.П.БЕЛООСТРОВ д.5</t>
  </si>
  <si>
    <t>ЮЖНАЯ УЛ.П.БЕЛООСТРОВ д.5А</t>
  </si>
  <si>
    <t>ГРАЖДАНСКАЯ УЛ.ЗЕЛЕНОГ. д.1</t>
  </si>
  <si>
    <t>КУРОРТНАЯ УЛ.ЗЕЛЕНОГОРСК д.15</t>
  </si>
  <si>
    <t>ПРИВОКЗАЛЬНАЯ УЛ. РЕПИНО д.20/2 к.2</t>
  </si>
  <si>
    <t>ПРИМОРСКОЕ ШОССЕ РЕПИНО д.394 корп.4</t>
  </si>
  <si>
    <t>33,5 м2</t>
  </si>
  <si>
    <t>30,6 м2</t>
  </si>
  <si>
    <t>30,2 м2</t>
  </si>
  <si>
    <t>30,1 м2</t>
  </si>
  <si>
    <t>ВОЛОДАРСКОГО УЛ. СЕС-ЦК д.41</t>
  </si>
  <si>
    <t>ПРИМОРСКОЕ ШОССЕ.СЕСТР. д.261</t>
  </si>
  <si>
    <t>ПРИМОРСКОЕ ШОССЕ.СЕСТР. д.265</t>
  </si>
  <si>
    <t xml:space="preserve">СВОБОДЫ ПЛ.СЕСТР-К д.1  </t>
  </si>
  <si>
    <t>ВОЛОДАРСКОГО УЛ. СЕС-ЦК д.1</t>
  </si>
  <si>
    <t>ПРИМОРСКОЕ ШОССЕ.СЕСТР. д.292</t>
  </si>
  <si>
    <t>Итого</t>
  </si>
  <si>
    <t>Б/У</t>
  </si>
  <si>
    <t>21.09.2013 расселе</t>
  </si>
  <si>
    <t>22.01.2013 расселен</t>
  </si>
  <si>
    <t>Снят с ТО Пр. ЖКС №32 от 22,04.13 (передача в частную собств)л/сч закрыты 01.04.2013</t>
  </si>
  <si>
    <t>Б/Уч</t>
  </si>
  <si>
    <t>ПРИМОРСКОЕ ШОССЕ УШКОВО д.617</t>
  </si>
  <si>
    <t xml:space="preserve">БЕЛООСТРОВСКОЕ Ш.П.ПЕС-Й, дом № 1  </t>
  </si>
  <si>
    <t xml:space="preserve">ВОЕННЫЙ ГОРОДОК П. ПЕСОЧНЫЙ, дом № 16  </t>
  </si>
  <si>
    <t xml:space="preserve">ВОЕННЫЙ ГОРОДОК П. ПЕСОЧНЫЙ, дом № 17  </t>
  </si>
  <si>
    <t xml:space="preserve">ВОЕННЫЙ ГОРОДОК П. ПЕСОЧНЫЙ, дом № 18  </t>
  </si>
  <si>
    <t xml:space="preserve">ВОЕННЫЙ ГОРОДОК П. ПЕСОЧНЫЙ, дом № 19  </t>
  </si>
  <si>
    <t xml:space="preserve">ВОЕННЫЙ ГОРОДОК П. ПЕСОЧНЫЙ, дом № 20  </t>
  </si>
  <si>
    <t xml:space="preserve">ВОЕННЫЙ ГОРОДОК П. ПЕСОЧНЫЙ, дом № 21  </t>
  </si>
  <si>
    <t xml:space="preserve">ВОЕННЫЙ ГОРОДОК П. ПЕСОЧНЫЙ, дом № 22  </t>
  </si>
  <si>
    <t xml:space="preserve">ВОЕННЫЙ ГОРОДОК П. ПЕСОЧНЫЙ, дом № 23  </t>
  </si>
  <si>
    <t xml:space="preserve">ВОЕННЫЙ ГОРОДОК П. ПЕСОЧНЫЙ, дом № 6  </t>
  </si>
  <si>
    <t xml:space="preserve">ВОЕННЫЙ ГОРОДОК П. ПЕСОЧНЫЙ, дом № 8  </t>
  </si>
  <si>
    <t xml:space="preserve">КВАРТАЛ  1-Й П.ПЕСОЧНЫЙ, дом № 10  </t>
  </si>
  <si>
    <t xml:space="preserve">КВАРТАЛ  1-Й П.ПЕСОЧНЫЙ, дом № 11  </t>
  </si>
  <si>
    <t xml:space="preserve">КВАРТАЛ  1-Й П.ПЕСОЧНЫЙ, дом № 14  </t>
  </si>
  <si>
    <t xml:space="preserve">КВАРТАЛ  1-Й П.ПЕСОЧНЫЙ, дом № 15  </t>
  </si>
  <si>
    <t xml:space="preserve">КВАРТАЛ  1-Й П.ПЕСОЧНЫЙ, дом № 16  </t>
  </si>
  <si>
    <t xml:space="preserve">КВАРТАЛ  1-Й П.ПЕСОЧНЫЙ, дом № 18  </t>
  </si>
  <si>
    <t xml:space="preserve">КВАРТАЛ  1-Й П.ПЕСОЧНЫЙ, дом № 19  </t>
  </si>
  <si>
    <t xml:space="preserve">КВАРТАЛ  1-Й П.ПЕСОЧНЫЙ, дом № 21  </t>
  </si>
  <si>
    <t xml:space="preserve">КВАРТАЛ  1-Й П.ПЕСОЧНЫЙ, дом № 22  </t>
  </si>
  <si>
    <t xml:space="preserve">КВАРТАЛ  1-Й П.ПЕСОЧНЫЙ, дом № 3  </t>
  </si>
  <si>
    <t xml:space="preserve">КВАРТАЛ  1-Й П.ПЕСОЧНЫЙ, дом № 4  </t>
  </si>
  <si>
    <t xml:space="preserve">КВАРТАЛ  1-Й П.ПЕСОЧНЫЙ, дом № 5  </t>
  </si>
  <si>
    <t xml:space="preserve">КВАРТАЛ  1-Й П.ПЕСОЧНЫЙ, дом № 6  </t>
  </si>
  <si>
    <t xml:space="preserve">КВАРТАЛ  1-Й П.ПЕСОЧНЫЙ, дом № 9  </t>
  </si>
  <si>
    <t xml:space="preserve">КВАРТАЛ  2-Й П.ПЕСОЧНЫЙ, дом № 28  </t>
  </si>
  <si>
    <t xml:space="preserve">КВАРТАЛ  2-Й П.ПЕСОЧНЫЙ, дом № 29  </t>
  </si>
  <si>
    <t xml:space="preserve">КВАРТАЛ  2-Й П.ПЕСОЧНЫЙ, дом № 30  </t>
  </si>
  <si>
    <t xml:space="preserve">КВАРТАЛ  2-Й П.ПЕСОЧНЫЙ, дом № 31  </t>
  </si>
  <si>
    <t xml:space="preserve">КВАРТАЛ  2-Й П.ПЕСОЧНЫЙ, дом № 32  </t>
  </si>
  <si>
    <t xml:space="preserve">КВАРТАЛ  2-Й П.ПЕСОЧНЫЙ, дом № 33  </t>
  </si>
  <si>
    <t xml:space="preserve">КВАРТАЛ  2-Й П.ПЕСОЧНЫЙ, дом № 34  </t>
  </si>
  <si>
    <t xml:space="preserve">КВАРТАЛ  2-Й П.ПЕСОЧНЫЙ, дом № 35  </t>
  </si>
  <si>
    <t xml:space="preserve">КВАРТАЛ  2-Й П.ПЕСОЧНЫЙ, дом № 36  </t>
  </si>
  <si>
    <t xml:space="preserve">КВАРТАЛ  2-Й П.ПЕСОЧНЫЙ, дом № 37  </t>
  </si>
  <si>
    <t xml:space="preserve">КВАРТАЛ  2-Й П.ПЕСОЧНЫЙ, дом № 39  </t>
  </si>
  <si>
    <t xml:space="preserve">КВАРТАЛ  4-Й П.ПЕСОЧНЫЙ, дом № 61  </t>
  </si>
  <si>
    <t xml:space="preserve">КВАРТАЛ  4-Й П.ПЕСОЧНЫЙ, дом № 62  </t>
  </si>
  <si>
    <t xml:space="preserve">КВАРТАЛ  4-Й П.ПЕСОЧНЫЙ, дом № 63  </t>
  </si>
  <si>
    <t xml:space="preserve">КВАРТАЛ  4-Й П.ПЕСОЧНЫЙ, дом № 64  </t>
  </si>
  <si>
    <t xml:space="preserve">КВАРТАЛ  4-Й П.ПЕСОЧНЫЙ, дом № 65  </t>
  </si>
  <si>
    <t xml:space="preserve">КВАРТАЛ  4-Й П.ПЕСОЧНЫЙ, дом № 66  </t>
  </si>
  <si>
    <t xml:space="preserve">КВАРТАЛ  4-Й П.ПЕСОЧНЫЙ, дом № 68  </t>
  </si>
  <si>
    <t xml:space="preserve">КВАРТАЛ  4-Й П.ПЕСОЧНЫЙ, дом № 69  </t>
  </si>
  <si>
    <t xml:space="preserve">КВАРТАЛ  4-Й П.ПЕСОЧНЫЙ, дом № 70  </t>
  </si>
  <si>
    <t xml:space="preserve">КВАРТАЛ  4-Й П.ПЕСОЧНЫЙ, дом № 72  </t>
  </si>
  <si>
    <t xml:space="preserve">КВАРТАЛ  4-Й П.ПЕСОЧНЫЙ, дом № 73  </t>
  </si>
  <si>
    <t xml:space="preserve">КВАРТАЛ  4-Й П.ПЕСОЧНЫЙ, дом № 74  </t>
  </si>
  <si>
    <t xml:space="preserve">КВАРТАЛ  4-Й П.ПЕСОЧНЫЙ, дом № 75  </t>
  </si>
  <si>
    <t xml:space="preserve">КВАРТАЛ  5-Й П.ПЕСОЧНЫЙ, дом № 83  </t>
  </si>
  <si>
    <t xml:space="preserve">КВАРТАЛ  5-Й П.ПЕСОЧНЫЙ, дом № 85  </t>
  </si>
  <si>
    <t xml:space="preserve">КВАРТАЛ  5-Й П.ПЕСОЧНЫЙ, дом № 86  </t>
  </si>
  <si>
    <t xml:space="preserve">КВАРТАЛ  5-Й П.ПЕСОЧНЫЙ, дом № 87  </t>
  </si>
  <si>
    <t xml:space="preserve">КВАРТАЛ  5-Й П.ПЕСОЧНЫЙ, дом № 88  </t>
  </si>
  <si>
    <t xml:space="preserve">КВАРТАЛ  5-Й П.ПЕСОЧНЫЙ, дом № 89  </t>
  </si>
  <si>
    <t xml:space="preserve">КВАРТАЛ  5-Й П.ПЕСОЧНЫЙ, дом № 90  </t>
  </si>
  <si>
    <t xml:space="preserve">КВАРТАЛ  5-Й П.ПЕСОЧНЫЙ, дом № 91  </t>
  </si>
  <si>
    <t xml:space="preserve">КВАРТАЛ  5-Й П.ПЕСОЧНЫЙ, дом № 92  </t>
  </si>
  <si>
    <t xml:space="preserve">КВАРТАЛ  5-Й П.ПЕСОЧНЫЙ, дом № 95  </t>
  </si>
  <si>
    <t xml:space="preserve">КВАРТАЛ  5-Й П.ПЕСОЧНЫЙ, дом № 96  </t>
  </si>
  <si>
    <t xml:space="preserve">КВАРТАЛ  5-Й П.ПЕСОЧНЫЙ, дом № 97  </t>
  </si>
  <si>
    <t xml:space="preserve">КВАРТАЛ  6-Й П.ПЕСОЧНЫЙ, дом № 100  </t>
  </si>
  <si>
    <t xml:space="preserve">КВАРТАЛ  6-Й П.ПЕСОЧНЫЙ, дом № 102  </t>
  </si>
  <si>
    <t xml:space="preserve">КВАРТАЛ  6-Й П.ПЕСОЧНЫЙ, дом № 104  </t>
  </si>
  <si>
    <t xml:space="preserve">КВАРТАЛ  6-Й П.ПЕСОЧНЫЙ, дом № 105  </t>
  </si>
  <si>
    <t xml:space="preserve">КВАРТАЛ  6-Й П.ПЕСОЧНЫЙ, дом № 106  </t>
  </si>
  <si>
    <t xml:space="preserve">КВАРТАЛ  6-Й П.ПЕСОЧНЫЙ, дом № 107  </t>
  </si>
  <si>
    <t xml:space="preserve">КВАРТАЛ  6-Й П.ПЕСОЧНЫЙ, дом № 109  </t>
  </si>
  <si>
    <t xml:space="preserve">КВАРТАЛ  6-Й П.ПЕСОЧНЫЙ, дом № 109А  </t>
  </si>
  <si>
    <t xml:space="preserve">КВАРТАЛ  6-Й П.ПЕСОЧНЫЙ, дом № 111  </t>
  </si>
  <si>
    <t xml:space="preserve">КВАРТАЛ  6-Й П.ПЕСОЧНЫЙ, дом № 113  </t>
  </si>
  <si>
    <t xml:space="preserve">КВАРТАЛ  6-Й П.ПЕСОЧНЫЙ, дом № 115  </t>
  </si>
  <si>
    <t xml:space="preserve">КВАРТАЛ  6-Й П.ПЕСОЧНЫЙ, дом № 116  </t>
  </si>
  <si>
    <t xml:space="preserve">КВАРТАЛ  6-Й П.ПЕСОЧНЫЙ, дом № 121  </t>
  </si>
  <si>
    <t xml:space="preserve">КВАРТАЛ  6-Й П.ПЕСОЧНЫЙ, дом № 122  </t>
  </si>
  <si>
    <t xml:space="preserve">КВАРТАЛ  6-Й П.ПЕСОЧНЫЙ, дом № 123  </t>
  </si>
  <si>
    <t xml:space="preserve">КВАРТАЛ  6-Й П.ПЕСОЧНЫЙ, дом № 123А  </t>
  </si>
  <si>
    <t xml:space="preserve">КВАРТАЛ  6-Й П.ПЕСОЧНЫЙ, дом № 124  </t>
  </si>
  <si>
    <t xml:space="preserve">КВАРТАЛ  6-Й П.ПЕСОЧНЫЙ, дом № 126  </t>
  </si>
  <si>
    <t xml:space="preserve">КВАРТАЛ  6-Й П.ПЕСОЧНЫЙ, дом № 127  </t>
  </si>
  <si>
    <t xml:space="preserve">КВАРТАЛ  6-Й П.ПЕСОЧНЫЙ, дом № 99  </t>
  </si>
  <si>
    <t xml:space="preserve">КВАРТАЛ  7-Й П.ПЕСОЧНЫЙ, дом № 133  </t>
  </si>
  <si>
    <t xml:space="preserve">КВАРТАЛ  7-Й П.ПЕСОЧНЫЙ, дом № 136  </t>
  </si>
  <si>
    <t xml:space="preserve">КВАРТАЛ  7-Й П.ПЕСОЧНЫЙ, дом № 136А  </t>
  </si>
  <si>
    <t xml:space="preserve">КВАРТАЛ  7-Й П.ПЕСОЧНЫЙ, дом № 136Б  </t>
  </si>
  <si>
    <t xml:space="preserve">КВАРТАЛ  8-Й П.ПЕСОЧНЫЙ, дом № 137  </t>
  </si>
  <si>
    <t xml:space="preserve">КВАРТАЛ  8-Й П.ПЕСОЧНЫЙ, дом № 138  </t>
  </si>
  <si>
    <t xml:space="preserve">КВАРТАЛ  9-Й П.ПЕСОЧНЫЙ, дом № 143  </t>
  </si>
  <si>
    <t xml:space="preserve">КВАРТАЛ  9-Й П.ПЕСОЧНЫЙ, дом № 144  </t>
  </si>
  <si>
    <t xml:space="preserve">КВАРТАЛ  9-Й П.ПЕСОЧНЫЙ, дом № 145  </t>
  </si>
  <si>
    <t xml:space="preserve">КВАРТАЛ  9-Й П.ПЕСОЧНЫЙ, дом № 146  </t>
  </si>
  <si>
    <t xml:space="preserve">КВАРТАЛ  9-Й П.ПЕСОЧНЫЙ, дом № 147  </t>
  </si>
  <si>
    <t xml:space="preserve">КВАРТАЛ  9-Й П.ПЕСОЧНЫЙ, дом № 148  </t>
  </si>
  <si>
    <t xml:space="preserve">КВАРТАЛ  9-Й П.ПЕСОЧНЫЙ, дом № 149  </t>
  </si>
  <si>
    <t xml:space="preserve">КВАРТАЛ  9-Й П.ПЕСОЧНЫЙ, дом № 151  </t>
  </si>
  <si>
    <t xml:space="preserve">КВАРТАЛ  9-Й П.ПЕСОЧНЫЙ, дом № 152  </t>
  </si>
  <si>
    <t xml:space="preserve">КВАРТАЛ  9-Й П.ПЕСОЧНЫЙ, дом № 153  </t>
  </si>
  <si>
    <t xml:space="preserve">КВАРТАЛ  9-Й П.ПЕСОЧНЫЙ, дом № 154  </t>
  </si>
  <si>
    <t xml:space="preserve">КВАРТАЛ  9-Й П.ПЕСОЧНЫЙ, дом № 155  </t>
  </si>
  <si>
    <t xml:space="preserve">КВАРТАЛ  9-Й П.ПЕСОЧНЫЙ, дом № 156  </t>
  </si>
  <si>
    <t xml:space="preserve">КВАРТАЛ  9-Й П.ПЕСОЧНЫЙ, дом № 158  </t>
  </si>
  <si>
    <t xml:space="preserve">КВАРТАЛ  9-Й П.ПЕСОЧНЫЙ, дом № 159  </t>
  </si>
  <si>
    <t xml:space="preserve">КВАРТАЛ  9-Й П.ПЕСОЧНЫЙ, дом № 160  </t>
  </si>
  <si>
    <t xml:space="preserve">КВАРТАЛ  9-Й П.ПЕСОЧНЫЙ, дом № 161  </t>
  </si>
  <si>
    <t xml:space="preserve">КВАРТАЛ  9-Й П.ПЕСОЧНЫЙ, дом № 162  </t>
  </si>
  <si>
    <t xml:space="preserve">КВАРТАЛ 10-Й П.ПЕСОЧНЫЙ, дом № 165  </t>
  </si>
  <si>
    <t xml:space="preserve">КВАРТАЛ 10-Й П.ПЕСОЧНЫЙ, дом № 166  </t>
  </si>
  <si>
    <t>КВАРТАЛ 10-Й П.ПЕСОЧНЫЙ, дом № 167</t>
  </si>
  <si>
    <t xml:space="preserve">КВАРТАЛ 10-Й П.ПЕСОЧНЫЙ, дом № 168  </t>
  </si>
  <si>
    <t xml:space="preserve">КВАРТАЛ 10-Й П.ПЕСОЧНЫЙ, дом № 169  </t>
  </si>
  <si>
    <t xml:space="preserve">КВАРТАЛ 10-Й П.ПЕСОЧНЫЙ, дом № 173  </t>
  </si>
  <si>
    <t xml:space="preserve">КВАРТАЛ 10-Й П.ПЕСОЧНЫЙ, дом № 174  </t>
  </si>
  <si>
    <t xml:space="preserve">КВАРТАЛ 10-Й П.ПЕСОЧНЫЙ, дом № 176  </t>
  </si>
  <si>
    <t xml:space="preserve">КВАРТАЛ 10-Й П.ПЕСОЧНЫЙ, дом № 177  </t>
  </si>
  <si>
    <t xml:space="preserve">КВАРТАЛ 10-Й П.ПЕСОЧНЫЙ, дом № 178  </t>
  </si>
  <si>
    <t xml:space="preserve">КВАРТАЛ 10-Й П.ПЕСОЧНЫЙ, дом № 179  </t>
  </si>
  <si>
    <t xml:space="preserve">КВАРТАЛ 10-Й П.ПЕСОЧНЫЙ, дом № 180  </t>
  </si>
  <si>
    <t xml:space="preserve">КВАРТАЛ 10-Й П.ПЕСОЧНЫЙ, дом № 182  </t>
  </si>
  <si>
    <t xml:space="preserve">КВАРТАЛ 10-Й П.ПЕСОЧНЫЙ, дом № 183  </t>
  </si>
  <si>
    <t xml:space="preserve">КВАРТАЛ 10-Й П.ПЕСОЧНЫЙ, дом № 184  </t>
  </si>
  <si>
    <t xml:space="preserve">КВАРТАЛ 10-Й П.ПЕСОЧНЫЙ, дом № 186  </t>
  </si>
  <si>
    <t xml:space="preserve">КВАРТАЛ 10-Й П.ПЕСОЧНЫЙ, дом № 187  </t>
  </si>
  <si>
    <t xml:space="preserve">КВАРТАЛ 10-Й П.ПЕСОЧНЫЙ, дом № 188  </t>
  </si>
  <si>
    <t xml:space="preserve">КВАРТАЛ 10-Й П.ПЕСОЧНЫЙ, дом № 189  </t>
  </si>
  <si>
    <t xml:space="preserve">КВАРТАЛ 11-Й П.ПЕСОЧНЫЙ, дом № 190  </t>
  </si>
  <si>
    <t xml:space="preserve">КВАРТАЛ 11-Й П.ПЕСОЧНЫЙ, дом № 191  </t>
  </si>
  <si>
    <t xml:space="preserve">КВАРТАЛ 11-Й П.ПЕСОЧНЫЙ, дом № 192  </t>
  </si>
  <si>
    <t xml:space="preserve">КВАРТАЛ 11-Й П.ПЕСОЧНЫЙ, дом № 193  </t>
  </si>
  <si>
    <t xml:space="preserve">КВАРТАЛ 11-Й П.ПЕСОЧНЫЙ, дом № 194  </t>
  </si>
  <si>
    <t xml:space="preserve">КВАРТАЛ 11-Й П.ПЕСОЧНЫЙ, дом № 196  </t>
  </si>
  <si>
    <t xml:space="preserve">КВАРТАЛ 11-Й П.ПЕСОЧНЫЙ, дом № 197  </t>
  </si>
  <si>
    <t xml:space="preserve">КВАРТАЛ 11-Й П.ПЕСОЧНЫЙ, дом № 198  </t>
  </si>
  <si>
    <t xml:space="preserve">КВАРТАЛ 11-Й П.ПЕСОЧНЫЙ, дом № 199  </t>
  </si>
  <si>
    <t>Акт ПСК №20-634/682 ПЭК от 13.01.2016 ОДН отсутствуют.</t>
  </si>
  <si>
    <t xml:space="preserve">Акт ПСК № 20-630/539 ПЭК от 30.12.15. ОДН 4 светильника.Расселен 14.12.2015. ОВиРУ на 05.01.2016 г. 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</si>
  <si>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</si>
  <si>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</si>
  <si>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от 19.01.2016 № 20-634/691 ПЭК. ОДН отсутствуют.</t>
  </si>
  <si>
    <t>Акт ПСК от 19.01.2016 № 20-634/692 ПЭК. ОДН отсутствуют.</t>
  </si>
  <si>
    <t>Акт ПСК от 19.01.2016 № 20-634/693 ПЭК. ОДН отсутствуют.</t>
  </si>
  <si>
    <t>Акт ПСК от 19.01.2016 № 20-634/694 ПЭК. ОДН отсутствуют.</t>
  </si>
  <si>
    <t>Акт ПСК от 19.01.2016 № 20-634/695 ПЭК. ОДН отсутствуют.</t>
  </si>
  <si>
    <t>Акт ПСК от 19.01.2016 № 20-634/697 ПЭК.  Частная собственность. ОДН отсутствуют.</t>
  </si>
  <si>
    <t>Акт ПСК от 19.01.2016 № 20-634/687 ПЭК.   ОДН отсутствуют.</t>
  </si>
  <si>
    <t>Акт ПСК от 19.01.2016 № 20-634/688 ПЭК.   ОДН отсутствуют.</t>
  </si>
  <si>
    <t>Акт ПСК от 19.01.2016 № 20-634/696 ПЭК.   ОДН (Комм.осв) Счетчик № 049051, 5-50,гос пов.2 2005г, пломба отсутствует. Показания День 09675,7, Ночь 05835,9</t>
  </si>
  <si>
    <t>Акт ПСК от 28.01.14 №С/Ю 0707 Коммун. освещение отсутствует. Акт ПСК от 27.01.2016 №20-630/585ПЭК. ОДН отсутствуют.</t>
  </si>
  <si>
    <t>Акт ПСК от 27.01.2016 № 20-630/584ПЭК. ОДН отсутствует</t>
  </si>
  <si>
    <t>Акт ПСК от 27.01.2016 №20-630/586ПЭК.  Коммун. освещение отсутствует</t>
  </si>
  <si>
    <t>Акт ПСК от 27.01.16 № 20-630/587ПЭК ОДН отсутствуют.</t>
  </si>
  <si>
    <t>Акт ПСК от 27.01.16 № 20-630/588ПЭК ОДН отсутствуют.</t>
  </si>
  <si>
    <t>Акт ПСК от 28.01.2016г. №20-630/595ПЭК. ОДН отсутствуют.</t>
  </si>
  <si>
    <t>Акт ПСК от 28.01.2016г. №20-630/589ПЭК. ОДН отсутствуют.</t>
  </si>
  <si>
    <t>Акт ПСК от 28.01.2016г. №20-630/590ПЭК. ОДН отсутствуют.</t>
  </si>
  <si>
    <t>Акт ПСК от 28.01.2016г. №20-630/591ПЭК. ОДН отсутствуют.</t>
  </si>
  <si>
    <t>Акт ПСК от 28.01.2016г. №20-630/592ПЭК. ОДН отсутствуют.</t>
  </si>
  <si>
    <t>Акт ПСК от 28.01.2016г. №20-630/593ПЭК. ОДН отсутствуют.</t>
  </si>
  <si>
    <t>Акт ПСК от 28.01.2016г. №20-630/594ПЭК. ОДН отсутствуют.</t>
  </si>
  <si>
    <t>Акт ПСК от 28.01.2016г. №20-630/596ПЭК. ОДН отсутствуют.</t>
  </si>
  <si>
    <t>Акт ПСК от 28.01.2016г. №20-630/597ПЭК. ОДН отсутствуют.</t>
  </si>
  <si>
    <t>Акт ПСК от 28.01.2016г. №20-630/598ПЭК. ОДН отсутствуют.</t>
  </si>
  <si>
    <t>Акт ПСК от 28.01.2016г. №20-630/599ПЭК. ОДН отсутствуют.</t>
  </si>
  <si>
    <t>Акт ПСК № 20-630/600ПЭК от 28.01.2016 г. ОДН отсутствуют. Акт курортэнерго от 28.04.2015 № 2 009069 Дома расселены, отключены, вводы демонтированы</t>
  </si>
  <si>
    <t>Акт ПСК №20-630/630ПЭК..ОДН отсутствуют. Искл ПСК из Б/уч. Акт Куротэнерго от 16.12.15 №32200300 Расселенные дома откл от ВЛ</t>
  </si>
  <si>
    <t>Акт ПСК № 20-630/583ПЭК от 27.01.2016 г. ОДН отсутствуют.</t>
  </si>
  <si>
    <t>Акт ПСК № 20-634/749 ПЭК от 04.02.2016. ОДН отсутствуют</t>
  </si>
  <si>
    <t>Акт ПСК № 20-634/750 ПЭК от 04.02.2016. ОДН отсутствуют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</si>
</sst>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"/>
    <numFmt numFmtId="181" formatCode="#,##0.000"/>
    <numFmt numFmtId="182" formatCode="#,##0.0"/>
    <numFmt numFmtId="183" formatCode="0.000"/>
    <numFmt numFmtId="184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24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2" fillId="0" borderId="10" xfId="0" applyNumberFormat="1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2" fillId="0" borderId="12" xfId="0" applyFont="1" applyBorder="1" applyAlignment="1">
      <alignment/>
    </xf>
    <xf numFmtId="0" fontId="33" fillId="25" borderId="13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2" fontId="0" fillId="24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2" fontId="22" fillId="24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26" borderId="10" xfId="0" applyFont="1" applyFill="1" applyBorder="1" applyAlignment="1">
      <alignment/>
    </xf>
    <xf numFmtId="0" fontId="22" fillId="0" borderId="13" xfId="0" applyFont="1" applyBorder="1" applyAlignment="1">
      <alignment/>
    </xf>
    <xf numFmtId="0" fontId="33" fillId="24" borderId="10" xfId="0" applyFont="1" applyFill="1" applyBorder="1" applyAlignment="1">
      <alignment/>
    </xf>
    <xf numFmtId="2" fontId="0" fillId="0" borderId="15" xfId="0" applyNumberFormat="1" applyBorder="1" applyAlignment="1">
      <alignment/>
    </xf>
    <xf numFmtId="0" fontId="29" fillId="24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26" fillId="24" borderId="13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2" fontId="0" fillId="24" borderId="11" xfId="0" applyNumberFormat="1" applyFill="1" applyBorder="1" applyAlignment="1">
      <alignment/>
    </xf>
    <xf numFmtId="2" fontId="22" fillId="0" borderId="11" xfId="0" applyNumberFormat="1" applyFont="1" applyBorder="1" applyAlignment="1">
      <alignment/>
    </xf>
    <xf numFmtId="2" fontId="30" fillId="0" borderId="11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2" fillId="11" borderId="10" xfId="0" applyFont="1" applyFill="1" applyBorder="1" applyAlignment="1">
      <alignment/>
    </xf>
    <xf numFmtId="2" fontId="34" fillId="0" borderId="0" xfId="0" applyNumberFormat="1" applyFont="1" applyFill="1" applyBorder="1" applyAlignment="1" applyProtection="1">
      <alignment horizontal="center" vertical="top"/>
      <protection/>
    </xf>
    <xf numFmtId="2" fontId="34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/>
    </xf>
    <xf numFmtId="0" fontId="34" fillId="0" borderId="0" xfId="0" applyNumberFormat="1" applyFont="1" applyFill="1" applyBorder="1" applyAlignment="1" applyProtection="1">
      <alignment vertical="top"/>
      <protection/>
    </xf>
    <xf numFmtId="0" fontId="22" fillId="27" borderId="10" xfId="0" applyFont="1" applyFill="1" applyBorder="1" applyAlignment="1">
      <alignment/>
    </xf>
    <xf numFmtId="0" fontId="22" fillId="27" borderId="10" xfId="0" applyFont="1" applyFill="1" applyBorder="1" applyAlignment="1">
      <alignment horizontal="center"/>
    </xf>
    <xf numFmtId="4" fontId="25" fillId="0" borderId="10" xfId="0" applyNumberFormat="1" applyFont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0" xfId="0" applyNumberFormat="1" applyAlignment="1">
      <alignment/>
    </xf>
    <xf numFmtId="2" fontId="34" fillId="0" borderId="10" xfId="0" applyNumberFormat="1" applyFont="1" applyFill="1" applyBorder="1" applyAlignment="1" applyProtection="1">
      <alignment vertical="top"/>
      <protection/>
    </xf>
    <xf numFmtId="2" fontId="34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Fill="1" applyBorder="1" applyAlignment="1">
      <alignment horizontal="center"/>
    </xf>
    <xf numFmtId="2" fontId="22" fillId="24" borderId="11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2" fontId="26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33" fillId="0" borderId="0" xfId="65" applyFont="1">
      <alignment/>
      <protection/>
    </xf>
    <xf numFmtId="0" fontId="0" fillId="0" borderId="0" xfId="65">
      <alignment/>
      <protection/>
    </xf>
    <xf numFmtId="0" fontId="0" fillId="0" borderId="17" xfId="65" applyBorder="1">
      <alignment/>
      <protection/>
    </xf>
    <xf numFmtId="0" fontId="22" fillId="0" borderId="18" xfId="65" applyFont="1" applyBorder="1" applyAlignment="1">
      <alignment horizontal="center"/>
      <protection/>
    </xf>
    <xf numFmtId="0" fontId="21" fillId="0" borderId="10" xfId="65" applyFont="1" applyBorder="1" applyAlignment="1">
      <alignment horizontal="center"/>
      <protection/>
    </xf>
    <xf numFmtId="0" fontId="27" fillId="0" borderId="10" xfId="65" applyFont="1" applyFill="1" applyBorder="1" applyAlignment="1">
      <alignment horizontal="center"/>
      <protection/>
    </xf>
    <xf numFmtId="4" fontId="22" fillId="0" borderId="10" xfId="65" applyNumberFormat="1" applyFont="1" applyBorder="1" applyAlignment="1">
      <alignment horizontal="center"/>
      <protection/>
    </xf>
    <xf numFmtId="4" fontId="22" fillId="0" borderId="10" xfId="65" applyNumberFormat="1" applyFont="1" applyBorder="1" applyAlignment="1">
      <alignment horizontal="center" wrapText="1"/>
      <protection/>
    </xf>
    <xf numFmtId="4" fontId="22" fillId="0" borderId="10" xfId="65" applyNumberFormat="1" applyFont="1" applyFill="1" applyBorder="1" applyAlignment="1">
      <alignment horizontal="center"/>
      <protection/>
    </xf>
    <xf numFmtId="2" fontId="22" fillId="0" borderId="10" xfId="65" applyNumberFormat="1" applyFont="1" applyFill="1" applyBorder="1" applyAlignment="1">
      <alignment horizontal="center"/>
      <protection/>
    </xf>
    <xf numFmtId="0" fontId="0" fillId="0" borderId="0" xfId="65" applyFill="1">
      <alignment/>
      <protection/>
    </xf>
    <xf numFmtId="0" fontId="0" fillId="0" borderId="18" xfId="65" applyBorder="1" applyAlignment="1">
      <alignment horizontal="center"/>
      <protection/>
    </xf>
    <xf numFmtId="0" fontId="22" fillId="0" borderId="17" xfId="65" applyFont="1" applyBorder="1" applyAlignment="1">
      <alignment horizontal="center"/>
      <protection/>
    </xf>
    <xf numFmtId="0" fontId="22" fillId="0" borderId="10" xfId="65" applyFont="1" applyBorder="1">
      <alignment/>
      <protection/>
    </xf>
    <xf numFmtId="0" fontId="22" fillId="0" borderId="10" xfId="65" applyFont="1" applyBorder="1" applyAlignment="1">
      <alignment horizontal="center"/>
      <protection/>
    </xf>
    <xf numFmtId="2" fontId="0" fillId="26" borderId="10" xfId="65" applyNumberFormat="1" applyFill="1" applyBorder="1">
      <alignment/>
      <protection/>
    </xf>
    <xf numFmtId="2" fontId="0" fillId="0" borderId="10" xfId="65" applyNumberFormat="1" applyFill="1" applyBorder="1">
      <alignment/>
      <protection/>
    </xf>
    <xf numFmtId="2" fontId="0" fillId="0" borderId="10" xfId="65" applyNumberFormat="1" applyBorder="1">
      <alignment/>
      <protection/>
    </xf>
    <xf numFmtId="0" fontId="22" fillId="0" borderId="14" xfId="65" applyFont="1" applyBorder="1" applyAlignment="1">
      <alignment horizontal="center"/>
      <protection/>
    </xf>
    <xf numFmtId="0" fontId="22" fillId="24" borderId="10" xfId="65" applyFont="1" applyFill="1" applyBorder="1">
      <alignment/>
      <protection/>
    </xf>
    <xf numFmtId="0" fontId="22" fillId="24" borderId="10" xfId="65" applyFont="1" applyFill="1" applyBorder="1" applyAlignment="1">
      <alignment horizontal="center"/>
      <protection/>
    </xf>
    <xf numFmtId="2" fontId="0" fillId="24" borderId="10" xfId="65" applyNumberFormat="1" applyFill="1" applyBorder="1">
      <alignment/>
      <protection/>
    </xf>
    <xf numFmtId="0" fontId="22" fillId="0" borderId="19" xfId="65" applyFont="1" applyBorder="1" applyAlignment="1">
      <alignment horizontal="center"/>
      <protection/>
    </xf>
    <xf numFmtId="0" fontId="22" fillId="0" borderId="10" xfId="65" applyFont="1" applyFill="1" applyBorder="1">
      <alignment/>
      <protection/>
    </xf>
    <xf numFmtId="0" fontId="0" fillId="0" borderId="10" xfId="65" applyBorder="1" applyAlignment="1">
      <alignment horizontal="center"/>
      <protection/>
    </xf>
    <xf numFmtId="0" fontId="0" fillId="0" borderId="10" xfId="65" applyFill="1" applyBorder="1" applyAlignment="1">
      <alignment horizontal="center"/>
      <protection/>
    </xf>
    <xf numFmtId="0" fontId="0" fillId="26" borderId="0" xfId="65" applyFill="1">
      <alignment/>
      <protection/>
    </xf>
    <xf numFmtId="0" fontId="0" fillId="0" borderId="10" xfId="65" applyBorder="1">
      <alignment/>
      <protection/>
    </xf>
    <xf numFmtId="0" fontId="1" fillId="0" borderId="10" xfId="65" applyFont="1" applyBorder="1" applyAlignment="1">
      <alignment horizontal="center"/>
      <protection/>
    </xf>
    <xf numFmtId="2" fontId="0" fillId="24" borderId="11" xfId="65" applyNumberFormat="1" applyFill="1" applyBorder="1">
      <alignment/>
      <protection/>
    </xf>
    <xf numFmtId="0" fontId="0" fillId="24" borderId="10" xfId="65" applyFill="1" applyBorder="1" applyAlignment="1">
      <alignment horizontal="center"/>
      <protection/>
    </xf>
    <xf numFmtId="0" fontId="27" fillId="0" borderId="10" xfId="65" applyFont="1" applyBorder="1" applyAlignment="1">
      <alignment horizontal="center"/>
      <protection/>
    </xf>
    <xf numFmtId="0" fontId="0" fillId="8" borderId="10" xfId="65" applyFill="1" applyBorder="1" applyAlignment="1">
      <alignment horizontal="center"/>
      <protection/>
    </xf>
    <xf numFmtId="2" fontId="0" fillId="12" borderId="10" xfId="65" applyNumberFormat="1" applyFill="1" applyBorder="1">
      <alignment/>
      <protection/>
    </xf>
    <xf numFmtId="0" fontId="0" fillId="26" borderId="10" xfId="65" applyFill="1" applyBorder="1" applyAlignment="1">
      <alignment horizontal="center"/>
      <protection/>
    </xf>
    <xf numFmtId="2" fontId="0" fillId="8" borderId="10" xfId="65" applyNumberFormat="1" applyFill="1" applyBorder="1">
      <alignment/>
      <protection/>
    </xf>
    <xf numFmtId="2" fontId="0" fillId="0" borderId="10" xfId="65" applyNumberFormat="1" applyBorder="1" applyAlignment="1">
      <alignment horizontal="center"/>
      <protection/>
    </xf>
    <xf numFmtId="2" fontId="30" fillId="0" borderId="10" xfId="65" applyNumberFormat="1" applyFont="1" applyBorder="1">
      <alignment/>
      <protection/>
    </xf>
    <xf numFmtId="2" fontId="22" fillId="0" borderId="10" xfId="65" applyNumberFormat="1" applyFont="1" applyBorder="1">
      <alignment/>
      <protection/>
    </xf>
    <xf numFmtId="0" fontId="22" fillId="0" borderId="13" xfId="65" applyFont="1" applyFill="1" applyBorder="1">
      <alignment/>
      <protection/>
    </xf>
    <xf numFmtId="0" fontId="22" fillId="0" borderId="16" xfId="65" applyFont="1" applyFill="1" applyBorder="1">
      <alignment/>
      <protection/>
    </xf>
    <xf numFmtId="0" fontId="22" fillId="0" borderId="0" xfId="65" applyFont="1" applyFill="1" applyBorder="1">
      <alignment/>
      <protection/>
    </xf>
    <xf numFmtId="2" fontId="0" fillId="8" borderId="11" xfId="65" applyNumberFormat="1" applyFill="1" applyBorder="1">
      <alignment/>
      <protection/>
    </xf>
    <xf numFmtId="0" fontId="22" fillId="4" borderId="10" xfId="65" applyFont="1" applyFill="1" applyBorder="1">
      <alignment/>
      <protection/>
    </xf>
    <xf numFmtId="2" fontId="22" fillId="24" borderId="10" xfId="65" applyNumberFormat="1" applyFont="1" applyFill="1" applyBorder="1">
      <alignment/>
      <protection/>
    </xf>
    <xf numFmtId="0" fontId="30" fillId="0" borderId="0" xfId="65" applyFont="1">
      <alignment/>
      <protection/>
    </xf>
    <xf numFmtId="2" fontId="34" fillId="0" borderId="10" xfId="65" applyNumberFormat="1" applyFont="1" applyFill="1" applyBorder="1" applyAlignment="1" applyProtection="1">
      <alignment horizontal="right" vertical="top"/>
      <protection/>
    </xf>
    <xf numFmtId="0" fontId="22" fillId="28" borderId="10" xfId="65" applyFont="1" applyFill="1" applyBorder="1">
      <alignment/>
      <protection/>
    </xf>
    <xf numFmtId="0" fontId="22" fillId="27" borderId="10" xfId="65" applyFont="1" applyFill="1" applyBorder="1">
      <alignment/>
      <protection/>
    </xf>
    <xf numFmtId="0" fontId="22" fillId="25" borderId="10" xfId="65" applyFont="1" applyFill="1" applyBorder="1">
      <alignment/>
      <protection/>
    </xf>
    <xf numFmtId="0" fontId="29" fillId="0" borderId="10" xfId="65" applyFont="1" applyFill="1" applyBorder="1" applyAlignment="1">
      <alignment horizontal="center"/>
      <protection/>
    </xf>
    <xf numFmtId="0" fontId="1" fillId="0" borderId="10" xfId="65" applyFont="1" applyBorder="1" applyAlignment="1">
      <alignment horizontal="left"/>
      <protection/>
    </xf>
    <xf numFmtId="0" fontId="0" fillId="26" borderId="10" xfId="65" applyFill="1" applyBorder="1">
      <alignment/>
      <protection/>
    </xf>
    <xf numFmtId="2" fontId="30" fillId="0" borderId="10" xfId="65" applyNumberFormat="1" applyFont="1" applyFill="1" applyBorder="1">
      <alignment/>
      <protection/>
    </xf>
    <xf numFmtId="0" fontId="29" fillId="24" borderId="10" xfId="65" applyFont="1" applyFill="1" applyBorder="1" applyAlignment="1">
      <alignment horizontal="center"/>
      <protection/>
    </xf>
    <xf numFmtId="2" fontId="30" fillId="24" borderId="10" xfId="65" applyNumberFormat="1" applyFont="1" applyFill="1" applyBorder="1">
      <alignment/>
      <protection/>
    </xf>
    <xf numFmtId="2" fontId="30" fillId="24" borderId="11" xfId="65" applyNumberFormat="1" applyFont="1" applyFill="1" applyBorder="1" applyAlignment="1">
      <alignment horizontal="center"/>
      <protection/>
    </xf>
    <xf numFmtId="0" fontId="27" fillId="26" borderId="10" xfId="65" applyFont="1" applyFill="1" applyBorder="1" applyAlignment="1">
      <alignment horizontal="center"/>
      <protection/>
    </xf>
    <xf numFmtId="2" fontId="26" fillId="0" borderId="10" xfId="65" applyNumberFormat="1" applyFont="1" applyBorder="1">
      <alignment/>
      <protection/>
    </xf>
    <xf numFmtId="2" fontId="30" fillId="0" borderId="10" xfId="65" applyNumberFormat="1" applyFont="1" applyFill="1" applyBorder="1">
      <alignment/>
      <protection/>
    </xf>
    <xf numFmtId="2" fontId="0" fillId="0" borderId="10" xfId="65" applyNumberFormat="1" applyFont="1" applyFill="1" applyBorder="1">
      <alignment/>
      <protection/>
    </xf>
    <xf numFmtId="2" fontId="34" fillId="0" borderId="10" xfId="65" applyNumberFormat="1" applyFont="1" applyFill="1" applyBorder="1" applyAlignment="1" applyProtection="1">
      <alignment vertical="top"/>
      <protection/>
    </xf>
    <xf numFmtId="2" fontId="30" fillId="0" borderId="10" xfId="65" applyNumberFormat="1" applyFont="1" applyBorder="1" applyAlignment="1">
      <alignment horizontal="center"/>
      <protection/>
    </xf>
    <xf numFmtId="2" fontId="0" fillId="0" borderId="15" xfId="65" applyNumberFormat="1" applyBorder="1">
      <alignment/>
      <protection/>
    </xf>
    <xf numFmtId="0" fontId="0" fillId="24" borderId="0" xfId="65" applyFill="1">
      <alignment/>
      <protection/>
    </xf>
    <xf numFmtId="2" fontId="29" fillId="0" borderId="10" xfId="65" applyNumberFormat="1" applyFont="1" applyFill="1" applyBorder="1">
      <alignment/>
      <protection/>
    </xf>
    <xf numFmtId="0" fontId="30" fillId="0" borderId="0" xfId="65" applyFont="1" applyAlignment="1">
      <alignment horizontal="center"/>
      <protection/>
    </xf>
    <xf numFmtId="2" fontId="0" fillId="0" borderId="13" xfId="65" applyNumberFormat="1" applyBorder="1">
      <alignment/>
      <protection/>
    </xf>
    <xf numFmtId="0" fontId="22" fillId="0" borderId="11" xfId="65" applyFont="1" applyBorder="1">
      <alignment/>
      <protection/>
    </xf>
    <xf numFmtId="0" fontId="0" fillId="0" borderId="11" xfId="65" applyBorder="1" applyAlignment="1">
      <alignment horizontal="center"/>
      <protection/>
    </xf>
    <xf numFmtId="2" fontId="0" fillId="26" borderId="11" xfId="65" applyNumberFormat="1" applyFill="1" applyBorder="1">
      <alignment/>
      <protection/>
    </xf>
    <xf numFmtId="2" fontId="0" fillId="0" borderId="11" xfId="65" applyNumberFormat="1" applyFill="1" applyBorder="1">
      <alignment/>
      <protection/>
    </xf>
    <xf numFmtId="2" fontId="0" fillId="0" borderId="11" xfId="65" applyNumberFormat="1" applyBorder="1">
      <alignment/>
      <protection/>
    </xf>
    <xf numFmtId="0" fontId="22" fillId="24" borderId="11" xfId="65" applyFont="1" applyFill="1" applyBorder="1">
      <alignment/>
      <protection/>
    </xf>
    <xf numFmtId="0" fontId="0" fillId="24" borderId="11" xfId="65" applyFill="1" applyBorder="1" applyAlignment="1">
      <alignment horizontal="center"/>
      <protection/>
    </xf>
    <xf numFmtId="0" fontId="27" fillId="0" borderId="11" xfId="65" applyFont="1" applyBorder="1" applyAlignment="1">
      <alignment horizontal="center"/>
      <protection/>
    </xf>
    <xf numFmtId="2" fontId="22" fillId="24" borderId="11" xfId="65" applyNumberFormat="1" applyFont="1" applyFill="1" applyBorder="1">
      <alignment/>
      <protection/>
    </xf>
    <xf numFmtId="0" fontId="0" fillId="0" borderId="11" xfId="65" applyFill="1" applyBorder="1" applyAlignment="1">
      <alignment horizontal="center"/>
      <protection/>
    </xf>
    <xf numFmtId="2" fontId="30" fillId="0" borderId="11" xfId="65" applyNumberFormat="1" applyFont="1" applyFill="1" applyBorder="1">
      <alignment/>
      <protection/>
    </xf>
    <xf numFmtId="2" fontId="22" fillId="0" borderId="11" xfId="65" applyNumberFormat="1" applyFont="1" applyBorder="1">
      <alignment/>
      <protection/>
    </xf>
    <xf numFmtId="2" fontId="0" fillId="28" borderId="10" xfId="65" applyNumberFormat="1" applyFill="1" applyBorder="1">
      <alignment/>
      <protection/>
    </xf>
    <xf numFmtId="0" fontId="22" fillId="0" borderId="15" xfId="65" applyFont="1" applyFill="1" applyBorder="1">
      <alignment/>
      <protection/>
    </xf>
    <xf numFmtId="0" fontId="0" fillId="0" borderId="0" xfId="65" applyAlignment="1">
      <alignment horizontal="center"/>
      <protection/>
    </xf>
    <xf numFmtId="0" fontId="0" fillId="8" borderId="11" xfId="65" applyFill="1" applyBorder="1" applyAlignment="1">
      <alignment horizontal="center"/>
      <protection/>
    </xf>
    <xf numFmtId="0" fontId="0" fillId="0" borderId="15" xfId="65" applyFill="1" applyBorder="1" applyAlignment="1">
      <alignment horizontal="center"/>
      <protection/>
    </xf>
    <xf numFmtId="2" fontId="0" fillId="12" borderId="11" xfId="65" applyNumberFormat="1" applyFill="1" applyBorder="1">
      <alignment/>
      <protection/>
    </xf>
    <xf numFmtId="0" fontId="0" fillId="0" borderId="10" xfId="65" applyBorder="1" applyAlignment="1">
      <alignment horizontal="left"/>
      <protection/>
    </xf>
    <xf numFmtId="0" fontId="22" fillId="0" borderId="11" xfId="65" applyFont="1" applyFill="1" applyBorder="1">
      <alignment/>
      <protection/>
    </xf>
    <xf numFmtId="0" fontId="0" fillId="0" borderId="18" xfId="65" applyBorder="1">
      <alignment/>
      <protection/>
    </xf>
    <xf numFmtId="0" fontId="37" fillId="0" borderId="20" xfId="65" applyFont="1" applyBorder="1">
      <alignment/>
      <protection/>
    </xf>
    <xf numFmtId="0" fontId="21" fillId="0" borderId="21" xfId="65" applyFont="1" applyFill="1" applyBorder="1">
      <alignment/>
      <protection/>
    </xf>
    <xf numFmtId="0" fontId="25" fillId="0" borderId="22" xfId="65" applyFont="1" applyBorder="1" applyAlignment="1">
      <alignment horizontal="center"/>
      <protection/>
    </xf>
    <xf numFmtId="4" fontId="25" fillId="0" borderId="23" xfId="65" applyNumberFormat="1" applyFont="1" applyBorder="1">
      <alignment/>
      <protection/>
    </xf>
    <xf numFmtId="4" fontId="25" fillId="0" borderId="22" xfId="65" applyNumberFormat="1" applyFont="1" applyBorder="1">
      <alignment/>
      <protection/>
    </xf>
    <xf numFmtId="4" fontId="25" fillId="0" borderId="24" xfId="65" applyNumberFormat="1" applyFont="1" applyBorder="1">
      <alignment/>
      <protection/>
    </xf>
    <xf numFmtId="0" fontId="33" fillId="0" borderId="16" xfId="65" applyFont="1" applyFill="1" applyBorder="1">
      <alignment/>
      <protection/>
    </xf>
    <xf numFmtId="0" fontId="22" fillId="0" borderId="25" xfId="65" applyFont="1" applyFill="1" applyBorder="1">
      <alignment/>
      <protection/>
    </xf>
    <xf numFmtId="0" fontId="0" fillId="0" borderId="25" xfId="65" applyBorder="1" applyAlignment="1">
      <alignment horizontal="center"/>
      <protection/>
    </xf>
    <xf numFmtId="4" fontId="0" fillId="0" borderId="10" xfId="65" applyNumberFormat="1" applyFill="1" applyBorder="1">
      <alignment/>
      <protection/>
    </xf>
    <xf numFmtId="4" fontId="0" fillId="0" borderId="0" xfId="65" applyNumberFormat="1">
      <alignment/>
      <protection/>
    </xf>
    <xf numFmtId="4" fontId="0" fillId="0" borderId="25" xfId="65" applyNumberFormat="1" applyBorder="1">
      <alignment/>
      <protection/>
    </xf>
    <xf numFmtId="4" fontId="0" fillId="0" borderId="25" xfId="65" applyNumberFormat="1" applyFill="1" applyBorder="1">
      <alignment/>
      <protection/>
    </xf>
    <xf numFmtId="4" fontId="0" fillId="0" borderId="10" xfId="65" applyNumberFormat="1" applyBorder="1">
      <alignment/>
      <protection/>
    </xf>
    <xf numFmtId="0" fontId="38" fillId="0" borderId="0" xfId="65" applyFont="1">
      <alignment/>
      <protection/>
    </xf>
    <xf numFmtId="0" fontId="39" fillId="0" borderId="16" xfId="65" applyFont="1" applyFill="1" applyBorder="1">
      <alignment/>
      <protection/>
    </xf>
    <xf numFmtId="0" fontId="40" fillId="0" borderId="10" xfId="65" applyFont="1" applyBorder="1">
      <alignment/>
      <protection/>
    </xf>
    <xf numFmtId="0" fontId="38" fillId="0" borderId="10" xfId="65" applyFont="1" applyBorder="1" applyAlignment="1">
      <alignment horizontal="center"/>
      <protection/>
    </xf>
    <xf numFmtId="0" fontId="38" fillId="0" borderId="0" xfId="65" applyFont="1" applyFill="1">
      <alignment/>
      <protection/>
    </xf>
    <xf numFmtId="4" fontId="0" fillId="0" borderId="26" xfId="65" applyNumberFormat="1" applyBorder="1">
      <alignment/>
      <protection/>
    </xf>
    <xf numFmtId="0" fontId="25" fillId="0" borderId="0" xfId="65" applyFont="1">
      <alignment/>
      <protection/>
    </xf>
    <xf numFmtId="0" fontId="37" fillId="0" borderId="16" xfId="65" applyFont="1" applyFill="1" applyBorder="1">
      <alignment/>
      <protection/>
    </xf>
    <xf numFmtId="0" fontId="21" fillId="0" borderId="10" xfId="65" applyFont="1" applyBorder="1">
      <alignment/>
      <protection/>
    </xf>
    <xf numFmtId="0" fontId="25" fillId="0" borderId="10" xfId="65" applyFont="1" applyBorder="1" applyAlignment="1">
      <alignment horizontal="center"/>
      <protection/>
    </xf>
    <xf numFmtId="4" fontId="25" fillId="0" borderId="10" xfId="65" applyNumberFormat="1" applyFont="1" applyBorder="1">
      <alignment/>
      <protection/>
    </xf>
    <xf numFmtId="0" fontId="25" fillId="0" borderId="0" xfId="65" applyFont="1" applyFill="1">
      <alignment/>
      <protection/>
    </xf>
    <xf numFmtId="0" fontId="40" fillId="0" borderId="0" xfId="65" applyFont="1">
      <alignment/>
      <protection/>
    </xf>
    <xf numFmtId="4" fontId="40" fillId="0" borderId="0" xfId="65" applyNumberFormat="1" applyFont="1">
      <alignment/>
      <protection/>
    </xf>
    <xf numFmtId="4" fontId="40" fillId="0" borderId="15" xfId="65" applyNumberFormat="1" applyFont="1" applyFill="1" applyBorder="1">
      <alignment/>
      <protection/>
    </xf>
    <xf numFmtId="0" fontId="33" fillId="24" borderId="10" xfId="65" applyFont="1" applyFill="1" applyBorder="1">
      <alignment/>
      <protection/>
    </xf>
    <xf numFmtId="0" fontId="22" fillId="24" borderId="13" xfId="65" applyFont="1" applyFill="1" applyBorder="1">
      <alignment/>
      <protection/>
    </xf>
    <xf numFmtId="0" fontId="0" fillId="0" borderId="0" xfId="65" applyFill="1" applyAlignment="1">
      <alignment horizontal="left"/>
      <protection/>
    </xf>
    <xf numFmtId="0" fontId="0" fillId="0" borderId="0" xfId="65" applyFont="1" applyFill="1">
      <alignment/>
      <protection/>
    </xf>
    <xf numFmtId="0" fontId="22" fillId="0" borderId="25" xfId="0" applyFont="1" applyBorder="1" applyAlignment="1">
      <alignment/>
    </xf>
    <xf numFmtId="4" fontId="40" fillId="0" borderId="10" xfId="65" applyNumberFormat="1" applyFont="1" applyBorder="1">
      <alignment/>
      <protection/>
    </xf>
    <xf numFmtId="0" fontId="41" fillId="0" borderId="16" xfId="65" applyFont="1" applyFill="1" applyBorder="1">
      <alignment/>
      <protection/>
    </xf>
    <xf numFmtId="0" fontId="40" fillId="0" borderId="10" xfId="65" applyFont="1" applyBorder="1" applyAlignment="1">
      <alignment horizontal="center"/>
      <protection/>
    </xf>
    <xf numFmtId="0" fontId="40" fillId="0" borderId="0" xfId="65" applyFont="1" applyFill="1">
      <alignment/>
      <protection/>
    </xf>
    <xf numFmtId="0" fontId="29" fillId="24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33" fillId="22" borderId="10" xfId="0" applyFont="1" applyFill="1" applyBorder="1" applyAlignment="1">
      <alignment/>
    </xf>
    <xf numFmtId="0" fontId="0" fillId="0" borderId="10" xfId="65" applyFont="1" applyBorder="1" applyAlignment="1">
      <alignment horizontal="center"/>
      <protection/>
    </xf>
    <xf numFmtId="0" fontId="0" fillId="0" borderId="10" xfId="65" applyFont="1" applyBorder="1">
      <alignment/>
      <protection/>
    </xf>
    <xf numFmtId="2" fontId="30" fillId="24" borderId="10" xfId="65" applyNumberFormat="1" applyFont="1" applyFill="1" applyBorder="1">
      <alignment/>
      <protection/>
    </xf>
    <xf numFmtId="1" fontId="0" fillId="8" borderId="11" xfId="65" applyNumberFormat="1" applyFill="1" applyBorder="1">
      <alignment/>
      <protection/>
    </xf>
    <xf numFmtId="0" fontId="30" fillId="0" borderId="10" xfId="65" applyFont="1" applyBorder="1" applyAlignment="1">
      <alignment horizontal="center"/>
      <protection/>
    </xf>
    <xf numFmtId="0" fontId="30" fillId="0" borderId="10" xfId="65" applyFont="1" applyBorder="1">
      <alignment/>
      <protection/>
    </xf>
    <xf numFmtId="2" fontId="30" fillId="24" borderId="10" xfId="65" applyNumberFormat="1" applyFont="1" applyFill="1" applyBorder="1" applyAlignment="1">
      <alignment horizontal="center"/>
      <protection/>
    </xf>
    <xf numFmtId="0" fontId="0" fillId="24" borderId="10" xfId="65" applyFill="1" applyBorder="1">
      <alignment/>
      <protection/>
    </xf>
    <xf numFmtId="0" fontId="22" fillId="0" borderId="25" xfId="65" applyFont="1" applyBorder="1">
      <alignment/>
      <protection/>
    </xf>
    <xf numFmtId="0" fontId="22" fillId="0" borderId="25" xfId="65" applyFont="1" applyBorder="1" applyAlignment="1">
      <alignment horizontal="center"/>
      <protection/>
    </xf>
    <xf numFmtId="2" fontId="0" fillId="26" borderId="25" xfId="65" applyNumberFormat="1" applyFill="1" applyBorder="1">
      <alignment/>
      <protection/>
    </xf>
    <xf numFmtId="2" fontId="0" fillId="0" borderId="25" xfId="65" applyNumberFormat="1" applyFill="1" applyBorder="1">
      <alignment/>
      <protection/>
    </xf>
    <xf numFmtId="2" fontId="0" fillId="0" borderId="25" xfId="65" applyNumberFormat="1" applyBorder="1">
      <alignment/>
      <protection/>
    </xf>
    <xf numFmtId="0" fontId="22" fillId="29" borderId="10" xfId="0" applyFont="1" applyFill="1" applyBorder="1" applyAlignment="1">
      <alignment/>
    </xf>
    <xf numFmtId="0" fontId="22" fillId="25" borderId="26" xfId="0" applyFont="1" applyFill="1" applyBorder="1" applyAlignment="1">
      <alignment horizontal="right"/>
    </xf>
    <xf numFmtId="0" fontId="22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27" xfId="0" applyFont="1" applyFill="1" applyBorder="1" applyAlignment="1">
      <alignment/>
    </xf>
    <xf numFmtId="0" fontId="0" fillId="0" borderId="10" xfId="65" applyFill="1" applyBorder="1">
      <alignment/>
      <protection/>
    </xf>
    <xf numFmtId="1" fontId="0" fillId="8" borderId="10" xfId="65" applyNumberFormat="1" applyFill="1" applyBorder="1">
      <alignment/>
      <protection/>
    </xf>
    <xf numFmtId="0" fontId="25" fillId="0" borderId="28" xfId="65" applyFont="1" applyBorder="1" applyAlignment="1">
      <alignment horizontal="center"/>
      <protection/>
    </xf>
    <xf numFmtId="4" fontId="25" fillId="0" borderId="29" xfId="65" applyNumberFormat="1" applyFont="1" applyBorder="1">
      <alignment/>
      <protection/>
    </xf>
    <xf numFmtId="4" fontId="25" fillId="0" borderId="21" xfId="65" applyNumberFormat="1" applyFont="1" applyBorder="1">
      <alignment/>
      <protection/>
    </xf>
    <xf numFmtId="4" fontId="0" fillId="0" borderId="10" xfId="65" applyNumberFormat="1" applyFont="1" applyFill="1" applyBorder="1">
      <alignment/>
      <protection/>
    </xf>
    <xf numFmtId="2" fontId="0" fillId="0" borderId="0" xfId="65" applyNumberFormat="1">
      <alignment/>
      <protection/>
    </xf>
    <xf numFmtId="2" fontId="0" fillId="12" borderId="0" xfId="65" applyNumberFormat="1" applyFill="1">
      <alignment/>
      <protection/>
    </xf>
    <xf numFmtId="2" fontId="22" fillId="12" borderId="10" xfId="65" applyNumberFormat="1" applyFont="1" applyFill="1" applyBorder="1">
      <alignment/>
      <protection/>
    </xf>
    <xf numFmtId="0" fontId="0" fillId="30" borderId="0" xfId="65" applyFill="1">
      <alignment/>
      <protection/>
    </xf>
    <xf numFmtId="1" fontId="0" fillId="0" borderId="0" xfId="65" applyNumberFormat="1" applyBorder="1">
      <alignment/>
      <protection/>
    </xf>
    <xf numFmtId="0" fontId="22" fillId="0" borderId="0" xfId="65" applyFont="1">
      <alignment/>
      <protection/>
    </xf>
    <xf numFmtId="2" fontId="0" fillId="24" borderId="0" xfId="65" applyNumberFormat="1" applyFill="1">
      <alignment/>
      <protection/>
    </xf>
    <xf numFmtId="2" fontId="0" fillId="3" borderId="25" xfId="65" applyNumberFormat="1" applyFill="1" applyBorder="1">
      <alignment/>
      <protection/>
    </xf>
    <xf numFmtId="2" fontId="0" fillId="3" borderId="10" xfId="65" applyNumberFormat="1" applyFill="1" applyBorder="1">
      <alignment/>
      <protection/>
    </xf>
    <xf numFmtId="4" fontId="27" fillId="0" borderId="25" xfId="65" applyNumberFormat="1" applyFont="1" applyBorder="1">
      <alignment/>
      <protection/>
    </xf>
    <xf numFmtId="4" fontId="27" fillId="0" borderId="10" xfId="65" applyNumberFormat="1" applyFont="1" applyBorder="1">
      <alignment/>
      <protection/>
    </xf>
    <xf numFmtId="4" fontId="42" fillId="0" borderId="10" xfId="65" applyNumberFormat="1" applyFont="1" applyBorder="1">
      <alignment/>
      <protection/>
    </xf>
    <xf numFmtId="4" fontId="43" fillId="0" borderId="10" xfId="65" applyNumberFormat="1" applyFont="1" applyBorder="1">
      <alignment/>
      <protection/>
    </xf>
    <xf numFmtId="4" fontId="42" fillId="0" borderId="0" xfId="65" applyNumberFormat="1" applyFont="1">
      <alignment/>
      <protection/>
    </xf>
    <xf numFmtId="0" fontId="0" fillId="0" borderId="0" xfId="65" applyFont="1">
      <alignment/>
      <protection/>
    </xf>
    <xf numFmtId="0" fontId="0" fillId="0" borderId="0" xfId="65" applyFill="1" applyBorder="1">
      <alignment/>
      <protection/>
    </xf>
    <xf numFmtId="2" fontId="22" fillId="0" borderId="0" xfId="65" applyNumberFormat="1" applyFont="1" applyFill="1" applyBorder="1" applyAlignment="1">
      <alignment horizontal="center"/>
      <protection/>
    </xf>
    <xf numFmtId="1" fontId="0" fillId="0" borderId="0" xfId="65" applyNumberFormat="1" applyFill="1" applyBorder="1">
      <alignment/>
      <protection/>
    </xf>
    <xf numFmtId="2" fontId="0" fillId="0" borderId="0" xfId="65" applyNumberFormat="1" applyFill="1" applyBorder="1">
      <alignment/>
      <protection/>
    </xf>
    <xf numFmtId="1" fontId="30" fillId="0" borderId="0" xfId="65" applyNumberFormat="1" applyFont="1" applyFill="1" applyBorder="1">
      <alignment/>
      <protection/>
    </xf>
    <xf numFmtId="1" fontId="22" fillId="0" borderId="0" xfId="65" applyNumberFormat="1" applyFont="1" applyFill="1" applyBorder="1">
      <alignment/>
      <protection/>
    </xf>
    <xf numFmtId="1" fontId="30" fillId="0" borderId="0" xfId="65" applyNumberFormat="1" applyFont="1" applyFill="1" applyBorder="1">
      <alignment/>
      <protection/>
    </xf>
    <xf numFmtId="1" fontId="0" fillId="0" borderId="0" xfId="65" applyNumberFormat="1" applyFont="1" applyFill="1" applyBorder="1">
      <alignment/>
      <protection/>
    </xf>
    <xf numFmtId="1" fontId="25" fillId="0" borderId="0" xfId="65" applyNumberFormat="1" applyFont="1" applyFill="1" applyBorder="1">
      <alignment/>
      <protection/>
    </xf>
    <xf numFmtId="1" fontId="26" fillId="0" borderId="0" xfId="65" applyNumberFormat="1" applyFont="1" applyFill="1" applyBorder="1">
      <alignment/>
      <protection/>
    </xf>
    <xf numFmtId="1" fontId="34" fillId="0" borderId="0" xfId="65" applyNumberFormat="1" applyFont="1" applyFill="1" applyBorder="1" applyAlignment="1" applyProtection="1">
      <alignment vertical="top"/>
      <protection/>
    </xf>
    <xf numFmtId="2" fontId="22" fillId="0" borderId="0" xfId="65" applyNumberFormat="1" applyFont="1" applyFill="1" applyBorder="1">
      <alignment/>
      <protection/>
    </xf>
    <xf numFmtId="2" fontId="25" fillId="0" borderId="0" xfId="65" applyNumberFormat="1" applyFont="1" applyFill="1" applyBorder="1">
      <alignment/>
      <protection/>
    </xf>
    <xf numFmtId="4" fontId="38" fillId="0" borderId="0" xfId="65" applyNumberFormat="1" applyFont="1" applyFill="1" applyBorder="1">
      <alignment/>
      <protection/>
    </xf>
    <xf numFmtId="0" fontId="25" fillId="0" borderId="0" xfId="65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1" fillId="0" borderId="0" xfId="65" applyFont="1">
      <alignment/>
      <protection/>
    </xf>
    <xf numFmtId="0" fontId="29" fillId="0" borderId="0" xfId="65" applyFont="1" applyFill="1">
      <alignment/>
      <protection/>
    </xf>
    <xf numFmtId="2" fontId="0" fillId="24" borderId="25" xfId="65" applyNumberFormat="1" applyFill="1" applyBorder="1">
      <alignment/>
      <protection/>
    </xf>
    <xf numFmtId="2" fontId="0" fillId="0" borderId="10" xfId="65" applyNumberFormat="1" applyFont="1" applyBorder="1">
      <alignment/>
      <protection/>
    </xf>
    <xf numFmtId="2" fontId="0" fillId="31" borderId="10" xfId="65" applyNumberFormat="1" applyFill="1" applyBorder="1">
      <alignment/>
      <protection/>
    </xf>
    <xf numFmtId="2" fontId="0" fillId="12" borderId="11" xfId="65" applyNumberFormat="1" applyFont="1" applyFill="1" applyBorder="1">
      <alignment/>
      <protection/>
    </xf>
    <xf numFmtId="0" fontId="44" fillId="24" borderId="13" xfId="0" applyFont="1" applyFill="1" applyBorder="1" applyAlignment="1">
      <alignment horizontal="left"/>
    </xf>
    <xf numFmtId="0" fontId="28" fillId="0" borderId="0" xfId="68" applyNumberFormat="1" applyFont="1" applyFill="1" applyBorder="1" applyAlignment="1" applyProtection="1">
      <alignment vertical="top"/>
      <protection/>
    </xf>
    <xf numFmtId="0" fontId="27" fillId="0" borderId="10" xfId="68" applyNumberFormat="1" applyFont="1" applyFill="1" applyBorder="1" applyAlignment="1" applyProtection="1">
      <alignment horizontal="left" vertical="top"/>
      <protection/>
    </xf>
    <xf numFmtId="0" fontId="0" fillId="0" borderId="0" xfId="66" applyFont="1" applyFill="1">
      <alignment/>
      <protection/>
    </xf>
    <xf numFmtId="1" fontId="0" fillId="24" borderId="10" xfId="65" applyNumberFormat="1" applyFill="1" applyBorder="1">
      <alignment/>
      <protection/>
    </xf>
    <xf numFmtId="1" fontId="0" fillId="0" borderId="10" xfId="65" applyNumberFormat="1" applyBorder="1">
      <alignment/>
      <protection/>
    </xf>
    <xf numFmtId="1" fontId="0" fillId="0" borderId="10" xfId="65" applyNumberFormat="1" applyFill="1" applyBorder="1">
      <alignment/>
      <protection/>
    </xf>
    <xf numFmtId="2" fontId="0" fillId="32" borderId="10" xfId="65" applyNumberFormat="1" applyFill="1" applyBorder="1">
      <alignment/>
      <protection/>
    </xf>
    <xf numFmtId="1" fontId="0" fillId="33" borderId="10" xfId="65" applyNumberFormat="1" applyFill="1" applyBorder="1">
      <alignment/>
      <protection/>
    </xf>
    <xf numFmtId="2" fontId="0" fillId="33" borderId="10" xfId="65" applyNumberFormat="1" applyFill="1" applyBorder="1">
      <alignment/>
      <protection/>
    </xf>
    <xf numFmtId="2" fontId="0" fillId="33" borderId="11" xfId="65" applyNumberFormat="1" applyFill="1" applyBorder="1">
      <alignment/>
      <protection/>
    </xf>
    <xf numFmtId="0" fontId="0" fillId="33" borderId="10" xfId="65" applyFill="1" applyBorder="1">
      <alignment/>
      <protection/>
    </xf>
    <xf numFmtId="2" fontId="0" fillId="34" borderId="10" xfId="65" applyNumberFormat="1" applyFill="1" applyBorder="1">
      <alignment/>
      <protection/>
    </xf>
    <xf numFmtId="0" fontId="0" fillId="24" borderId="0" xfId="65" applyFont="1" applyFill="1">
      <alignment/>
      <protection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_декабрь 2015" xfId="66"/>
    <cellStyle name="Обычный 3" xfId="67"/>
    <cellStyle name="Обычный_нов спис с мая 2015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80"/>
  <sheetViews>
    <sheetView zoomScalePageLayoutView="0" workbookViewId="0" topLeftCell="A1">
      <pane xSplit="2" ySplit="7" topLeftCell="C4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" sqref="P1:P16384"/>
    </sheetView>
  </sheetViews>
  <sheetFormatPr defaultColWidth="9.00390625" defaultRowHeight="12.75"/>
  <cols>
    <col min="1" max="1" width="6.875" style="34" customWidth="1"/>
    <col min="2" max="2" width="43.125" style="0" customWidth="1"/>
    <col min="3" max="3" width="10.625" style="0" customWidth="1"/>
    <col min="4" max="4" width="15.625" style="28" customWidth="1"/>
    <col min="5" max="5" width="14.25390625" style="0" hidden="1" customWidth="1"/>
    <col min="6" max="6" width="13.875" style="0" hidden="1" customWidth="1"/>
    <col min="7" max="7" width="13.75390625" style="0" hidden="1" customWidth="1"/>
    <col min="8" max="8" width="14.875" style="0" hidden="1" customWidth="1"/>
    <col min="9" max="9" width="14.00390625" style="0" hidden="1" customWidth="1"/>
    <col min="10" max="10" width="14.875" style="0" hidden="1" customWidth="1"/>
    <col min="11" max="11" width="13.75390625" style="34" hidden="1" customWidth="1"/>
    <col min="12" max="12" width="13.875" style="0" hidden="1" customWidth="1"/>
    <col min="13" max="13" width="14.625" style="0" hidden="1" customWidth="1"/>
    <col min="14" max="14" width="14.00390625" style="0" hidden="1" customWidth="1"/>
    <col min="15" max="15" width="14.25390625" style="0" hidden="1" customWidth="1"/>
    <col min="16" max="16" width="14.00390625" style="0" hidden="1" customWidth="1"/>
    <col min="17" max="17" width="15.625" style="0" customWidth="1"/>
    <col min="18" max="18" width="11.375" style="34" customWidth="1"/>
    <col min="19" max="231" width="9.125" style="34" customWidth="1"/>
  </cols>
  <sheetData>
    <row r="1" spans="1:15" ht="14.25">
      <c r="A1" s="69" t="s">
        <v>567</v>
      </c>
      <c r="C1" s="14"/>
      <c r="E1" s="13"/>
      <c r="F1" s="13"/>
      <c r="J1" s="2"/>
      <c r="K1" s="33"/>
      <c r="L1" s="2"/>
      <c r="M1" s="2"/>
      <c r="N1" s="2"/>
      <c r="O1" s="2"/>
    </row>
    <row r="2" spans="2:15" ht="14.25">
      <c r="B2" s="16"/>
      <c r="C2" s="13" t="s">
        <v>628</v>
      </c>
      <c r="E2" s="13"/>
      <c r="F2" s="15"/>
      <c r="J2" s="2"/>
      <c r="K2" s="33"/>
      <c r="L2" s="2"/>
      <c r="M2" s="2"/>
      <c r="N2" s="2"/>
      <c r="O2" s="2"/>
    </row>
    <row r="3" spans="1:5" ht="12.75" hidden="1">
      <c r="A3" s="70"/>
      <c r="B3" s="1"/>
      <c r="C3" s="1"/>
      <c r="E3" s="1"/>
    </row>
    <row r="4" spans="1:5" ht="12.75" hidden="1">
      <c r="A4" s="70"/>
      <c r="B4" s="1"/>
      <c r="C4" s="1"/>
      <c r="E4" s="1"/>
    </row>
    <row r="5" ht="12.75" hidden="1"/>
    <row r="6" spans="1:17" ht="12.75">
      <c r="A6" s="71" t="s">
        <v>71</v>
      </c>
      <c r="B6" s="4" t="s">
        <v>70</v>
      </c>
      <c r="C6" s="4" t="s">
        <v>72</v>
      </c>
      <c r="D6" s="29" t="s">
        <v>568</v>
      </c>
      <c r="E6" s="5" t="s">
        <v>569</v>
      </c>
      <c r="F6" s="5" t="s">
        <v>570</v>
      </c>
      <c r="G6" s="6" t="s">
        <v>571</v>
      </c>
      <c r="H6" s="6" t="s">
        <v>572</v>
      </c>
      <c r="I6" s="3" t="s">
        <v>573</v>
      </c>
      <c r="J6" s="3" t="s">
        <v>574</v>
      </c>
      <c r="K6" s="7" t="s">
        <v>575</v>
      </c>
      <c r="L6" s="7" t="s">
        <v>576</v>
      </c>
      <c r="M6" s="7" t="s">
        <v>577</v>
      </c>
      <c r="N6" s="7" t="s">
        <v>578</v>
      </c>
      <c r="O6" s="7" t="s">
        <v>579</v>
      </c>
      <c r="P6" s="7" t="s">
        <v>580</v>
      </c>
      <c r="Q6" s="3" t="s">
        <v>597</v>
      </c>
    </row>
    <row r="7" spans="1:17" ht="36">
      <c r="A7" s="72"/>
      <c r="B7" s="4"/>
      <c r="C7" s="4"/>
      <c r="D7" s="30" t="s">
        <v>581</v>
      </c>
      <c r="E7" s="6" t="s">
        <v>582</v>
      </c>
      <c r="F7" s="6" t="s">
        <v>582</v>
      </c>
      <c r="G7" s="6" t="s">
        <v>582</v>
      </c>
      <c r="H7" s="6" t="s">
        <v>582</v>
      </c>
      <c r="I7" s="6" t="s">
        <v>582</v>
      </c>
      <c r="J7" s="6" t="s">
        <v>582</v>
      </c>
      <c r="K7" s="35" t="s">
        <v>582</v>
      </c>
      <c r="L7" s="6" t="s">
        <v>582</v>
      </c>
      <c r="M7" s="6" t="s">
        <v>582</v>
      </c>
      <c r="N7" s="6" t="s">
        <v>582</v>
      </c>
      <c r="O7" s="6" t="s">
        <v>582</v>
      </c>
      <c r="P7" s="6" t="s">
        <v>582</v>
      </c>
      <c r="Q7" s="6" t="s">
        <v>582</v>
      </c>
    </row>
    <row r="8" spans="1:17" ht="12.75">
      <c r="A8" s="73">
        <v>1</v>
      </c>
      <c r="B8" s="9" t="s">
        <v>73</v>
      </c>
      <c r="C8" s="9">
        <v>21602</v>
      </c>
      <c r="D8" s="8">
        <v>2</v>
      </c>
      <c r="E8" s="20">
        <v>135.6</v>
      </c>
      <c r="F8" s="20">
        <v>108.48</v>
      </c>
      <c r="G8" s="20">
        <v>94.92</v>
      </c>
      <c r="H8" s="20">
        <v>67.8</v>
      </c>
      <c r="I8" s="22">
        <v>40.68</v>
      </c>
      <c r="J8" s="20">
        <v>27.12</v>
      </c>
      <c r="K8" s="22">
        <f>ROUND(0.04*143.25,0)*3.53*2</f>
        <v>42.36</v>
      </c>
      <c r="L8" s="22">
        <f>ROUND(0.04*235.08,0)*3.53*2</f>
        <v>63.54</v>
      </c>
      <c r="M8" s="22">
        <f>ROUND(0.04*314.17,0)*3.53*2</f>
        <v>91.78</v>
      </c>
      <c r="N8" s="22">
        <f>ROUND(0.04*430.83,0)*3.53*2</f>
        <v>120.02</v>
      </c>
      <c r="O8" s="22">
        <f>ROUND(0.04*492.08,0)*3.53*2</f>
        <v>141.2</v>
      </c>
      <c r="P8" s="22">
        <f>ROUND(0.04*548.5,0)*3.53*2</f>
        <v>155.32</v>
      </c>
      <c r="Q8" s="20">
        <f>E8+F8+G8+H8+I186+J8+K8+L8+M8+N8+O8+P8</f>
        <v>19363.739999999998</v>
      </c>
    </row>
    <row r="9" spans="1:231" s="44" customFormat="1" ht="12.75">
      <c r="A9" s="73">
        <f>A8+1</f>
        <v>2</v>
      </c>
      <c r="B9" s="10" t="s">
        <v>74</v>
      </c>
      <c r="C9" s="10">
        <v>21600</v>
      </c>
      <c r="D9" s="42">
        <v>2</v>
      </c>
      <c r="E9" s="43">
        <v>135.6</v>
      </c>
      <c r="F9" s="43">
        <v>108.48</v>
      </c>
      <c r="G9" s="43">
        <v>94.92</v>
      </c>
      <c r="H9" s="43">
        <v>67.8</v>
      </c>
      <c r="I9" s="43">
        <v>40.68</v>
      </c>
      <c r="J9" s="43">
        <v>27.12</v>
      </c>
      <c r="K9" s="43">
        <f>ROUND(0.04*143.25,0)*3.53*2</f>
        <v>42.36</v>
      </c>
      <c r="L9" s="43">
        <f>ROUND(0.04*235.08,0)*3.53*2</f>
        <v>63.54</v>
      </c>
      <c r="M9" s="43">
        <f>ROUND(0.04*314.17,0)*3.53*2</f>
        <v>91.78</v>
      </c>
      <c r="N9" s="43">
        <f>ROUND(0.04*430.83,0)*3.53*2</f>
        <v>120.02</v>
      </c>
      <c r="O9" s="43">
        <f>ROUND(0.04*492.08,0)*3.53*2</f>
        <v>141.2</v>
      </c>
      <c r="P9" s="43">
        <f>ROUND(0.04*548.5,0)*3.53*2</f>
        <v>155.32</v>
      </c>
      <c r="Q9" s="43">
        <f aca="true" t="shared" si="0" ref="Q9:Q72">E9+F9+G9+H9+I9+J9+K9+L9+M9+N9+O9+P9</f>
        <v>1088.82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</row>
    <row r="10" spans="1:17" ht="12.75">
      <c r="A10" s="73">
        <f aca="true" t="shared" si="1" ref="A10:A73">A9+1</f>
        <v>3</v>
      </c>
      <c r="B10" s="9" t="s">
        <v>75</v>
      </c>
      <c r="C10" s="9">
        <v>21610</v>
      </c>
      <c r="D10" s="8">
        <v>2</v>
      </c>
      <c r="E10" s="20">
        <v>135.6</v>
      </c>
      <c r="F10" s="20">
        <v>108.48</v>
      </c>
      <c r="G10" s="20">
        <v>94.92</v>
      </c>
      <c r="H10" s="20">
        <v>67.8</v>
      </c>
      <c r="I10" s="22">
        <v>40.68</v>
      </c>
      <c r="J10" s="20">
        <v>27.12</v>
      </c>
      <c r="K10" s="22">
        <f>ROUND(0.04*143.25,0)*3.53*2</f>
        <v>42.36</v>
      </c>
      <c r="L10" s="22">
        <f>ROUND(0.04*235.08,0)*3.53*2</f>
        <v>63.54</v>
      </c>
      <c r="M10" s="22">
        <f>ROUND(0.04*314.17,0)*3.53*2</f>
        <v>91.78</v>
      </c>
      <c r="N10" s="22">
        <f>ROUND(0.04*430.83,0)*3.53*2</f>
        <v>120.02</v>
      </c>
      <c r="O10" s="22">
        <f>ROUND(0.04*492.08,0)*3.53*2</f>
        <v>141.2</v>
      </c>
      <c r="P10" s="22">
        <f>ROUND(0.04*548.5,0)*3.53*2</f>
        <v>155.32</v>
      </c>
      <c r="Q10" s="20">
        <f t="shared" si="0"/>
        <v>1088.82</v>
      </c>
    </row>
    <row r="11" spans="1:17" ht="12.75">
      <c r="A11" s="73">
        <f t="shared" si="1"/>
        <v>4</v>
      </c>
      <c r="B11" s="9" t="s">
        <v>76</v>
      </c>
      <c r="C11" s="9">
        <v>21606</v>
      </c>
      <c r="D11" s="8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2"/>
      <c r="L11" s="22"/>
      <c r="M11" s="22"/>
      <c r="N11" s="22"/>
      <c r="O11" s="22"/>
      <c r="P11" s="22"/>
      <c r="Q11" s="20">
        <f t="shared" si="0"/>
        <v>0</v>
      </c>
    </row>
    <row r="12" spans="1:17" ht="12.75">
      <c r="A12" s="73">
        <f t="shared" si="1"/>
        <v>5</v>
      </c>
      <c r="B12" s="9" t="s">
        <v>77</v>
      </c>
      <c r="C12" s="9">
        <v>21607</v>
      </c>
      <c r="D12" s="8">
        <v>2</v>
      </c>
      <c r="E12" s="20">
        <v>135.6</v>
      </c>
      <c r="F12" s="20">
        <v>108.48</v>
      </c>
      <c r="G12" s="20">
        <v>94.92</v>
      </c>
      <c r="H12" s="20">
        <v>67.8</v>
      </c>
      <c r="I12" s="22">
        <v>40.68</v>
      </c>
      <c r="J12" s="20">
        <v>27.12</v>
      </c>
      <c r="K12" s="22">
        <f>ROUND(0.04*143.25,0)*3.53*2</f>
        <v>42.36</v>
      </c>
      <c r="L12" s="22">
        <f>ROUND(0.04*235.08,0)*3.53*2</f>
        <v>63.54</v>
      </c>
      <c r="M12" s="22">
        <f>ROUND(0.04*314.17,0)*3.53*2</f>
        <v>91.78</v>
      </c>
      <c r="N12" s="22">
        <f>ROUND(0.04*430.83,0)*3.53*2</f>
        <v>120.02</v>
      </c>
      <c r="O12" s="22">
        <f>ROUND(0.04*492.08,0)*3.53*2</f>
        <v>141.2</v>
      </c>
      <c r="P12" s="22">
        <f>ROUND(0.04*548.5,0)*3.53*2</f>
        <v>155.32</v>
      </c>
      <c r="Q12" s="20">
        <f t="shared" si="0"/>
        <v>1088.82</v>
      </c>
    </row>
    <row r="13" spans="1:17" ht="12.75">
      <c r="A13" s="73">
        <f t="shared" si="1"/>
        <v>6</v>
      </c>
      <c r="B13" s="9" t="s">
        <v>78</v>
      </c>
      <c r="C13" s="9">
        <v>21619</v>
      </c>
      <c r="D13" s="8">
        <v>1</v>
      </c>
      <c r="E13" s="21">
        <v>67.8</v>
      </c>
      <c r="F13" s="20">
        <v>54.24</v>
      </c>
      <c r="G13" s="20">
        <v>47.46</v>
      </c>
      <c r="H13" s="20">
        <v>33.9</v>
      </c>
      <c r="I13" s="20">
        <v>20.34</v>
      </c>
      <c r="J13" s="20">
        <v>13.56</v>
      </c>
      <c r="K13" s="22">
        <f>ROUND(0.04*143.25,0)*3.53</f>
        <v>21.18</v>
      </c>
      <c r="L13" s="22">
        <f>ROUND(0.04*235.08,0)*3.53</f>
        <v>31.77</v>
      </c>
      <c r="M13" s="22">
        <f>ROUND(0.04*314.17,0)*3.53</f>
        <v>45.89</v>
      </c>
      <c r="N13" s="22">
        <f>ROUND(0.04*430.83,0)*3.53</f>
        <v>60.01</v>
      </c>
      <c r="O13" s="22">
        <f>ROUND(0.04*492.08,0)*3.53</f>
        <v>70.6</v>
      </c>
      <c r="P13" s="22">
        <f>ROUND(0.04*548.5,0)*3.53</f>
        <v>77.66</v>
      </c>
      <c r="Q13" s="20">
        <f t="shared" si="0"/>
        <v>544.41</v>
      </c>
    </row>
    <row r="14" spans="1:17" ht="12.75">
      <c r="A14" s="73">
        <f t="shared" si="1"/>
        <v>7</v>
      </c>
      <c r="B14" s="9" t="s">
        <v>566</v>
      </c>
      <c r="C14" s="9">
        <v>10010</v>
      </c>
      <c r="D14" s="8" t="s">
        <v>584</v>
      </c>
      <c r="E14" s="21"/>
      <c r="F14" s="20"/>
      <c r="G14" s="20"/>
      <c r="H14" s="20"/>
      <c r="I14" s="20"/>
      <c r="J14" s="20"/>
      <c r="K14" s="22"/>
      <c r="L14" s="22"/>
      <c r="M14" s="22"/>
      <c r="N14" s="22"/>
      <c r="O14" s="22"/>
      <c r="P14" s="22"/>
      <c r="Q14" s="20">
        <f t="shared" si="0"/>
        <v>0</v>
      </c>
    </row>
    <row r="15" spans="1:17" ht="12.75">
      <c r="A15" s="73">
        <f t="shared" si="1"/>
        <v>8</v>
      </c>
      <c r="B15" s="10" t="s">
        <v>79</v>
      </c>
      <c r="C15" s="10">
        <v>21622</v>
      </c>
      <c r="D15" s="42">
        <v>2</v>
      </c>
      <c r="E15" s="43">
        <v>135.6</v>
      </c>
      <c r="F15" s="43">
        <v>108.48</v>
      </c>
      <c r="G15" s="43">
        <v>94.92</v>
      </c>
      <c r="H15" s="43">
        <v>67.8</v>
      </c>
      <c r="I15" s="43">
        <v>40.68</v>
      </c>
      <c r="J15" s="43">
        <v>27.12</v>
      </c>
      <c r="K15" s="43">
        <f>ROUND(0.04*143.25,0)*3.53*2</f>
        <v>42.36</v>
      </c>
      <c r="L15" s="43">
        <f>ROUND(0.04*235.08,0)*3.53*2</f>
        <v>63.54</v>
      </c>
      <c r="M15" s="43">
        <f>ROUND(0.04*314.17,0)*3.53*2</f>
        <v>91.78</v>
      </c>
      <c r="N15" s="43">
        <f>ROUND(0.04*430.83,0)*3.53*2</f>
        <v>120.02</v>
      </c>
      <c r="O15" s="43">
        <f>ROUND(0.04*492.08,0)*3.53*2</f>
        <v>141.2</v>
      </c>
      <c r="P15" s="43">
        <f>ROUND(0.04*548.5,0)*3.53*2</f>
        <v>155.32</v>
      </c>
      <c r="Q15" s="43">
        <f t="shared" si="0"/>
        <v>1088.82</v>
      </c>
    </row>
    <row r="16" spans="1:231" s="44" customFormat="1" ht="12.75">
      <c r="A16" s="73">
        <f t="shared" si="1"/>
        <v>9</v>
      </c>
      <c r="B16" s="9" t="s">
        <v>80</v>
      </c>
      <c r="C16" s="9">
        <v>12200</v>
      </c>
      <c r="D16" s="17">
        <v>18</v>
      </c>
      <c r="E16" s="20">
        <v>1220.4</v>
      </c>
      <c r="F16" s="20">
        <v>976.32</v>
      </c>
      <c r="G16" s="20">
        <v>854.28</v>
      </c>
      <c r="H16" s="20">
        <v>610.2</v>
      </c>
      <c r="I16" s="20">
        <v>366.12</v>
      </c>
      <c r="J16" s="20">
        <v>244.08</v>
      </c>
      <c r="K16" s="22">
        <f>ROUND(0.04*143.25,0)*3.53*18</f>
        <v>381.24</v>
      </c>
      <c r="L16" s="22">
        <f>ROUND(0.04*235.08,0)*3.53*18</f>
        <v>571.86</v>
      </c>
      <c r="M16" s="22">
        <f>ROUND(0.04*314.17,0)*3.53*18</f>
        <v>826.02</v>
      </c>
      <c r="N16" s="22">
        <f>ROUND(0.04*430.83,0)*3.53*18</f>
        <v>1080.18</v>
      </c>
      <c r="O16" s="22">
        <f>ROUND(0.04*492.08,0)*3.53*18</f>
        <v>1270.8</v>
      </c>
      <c r="P16" s="22">
        <f>ROUND(0.04*548.5,0)*3.53*18</f>
        <v>1397.8799999999999</v>
      </c>
      <c r="Q16" s="20">
        <f t="shared" si="0"/>
        <v>9799.379999999997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</row>
    <row r="17" spans="1:17" ht="12.75">
      <c r="A17" s="73">
        <f t="shared" si="1"/>
        <v>10</v>
      </c>
      <c r="B17" s="10" t="s">
        <v>81</v>
      </c>
      <c r="C17" s="10">
        <v>12203</v>
      </c>
      <c r="D17" s="45" t="s">
        <v>584</v>
      </c>
      <c r="E17" s="46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f t="shared" si="0"/>
        <v>0</v>
      </c>
    </row>
    <row r="18" spans="1:17" ht="12.75">
      <c r="A18" s="73">
        <f t="shared" si="1"/>
        <v>11</v>
      </c>
      <c r="B18" s="9" t="s">
        <v>82</v>
      </c>
      <c r="C18" s="9">
        <v>11103</v>
      </c>
      <c r="D18" s="17" t="s">
        <v>619</v>
      </c>
      <c r="E18" s="20">
        <v>1467.54</v>
      </c>
      <c r="F18" s="20">
        <v>2569.15</v>
      </c>
      <c r="G18" s="20">
        <v>1369.35</v>
      </c>
      <c r="H18" s="20">
        <v>1830.39</v>
      </c>
      <c r="I18" s="20">
        <v>1945.4</v>
      </c>
      <c r="J18" s="20">
        <v>3237.75</v>
      </c>
      <c r="K18" s="22">
        <v>4184.49</v>
      </c>
      <c r="L18" s="20">
        <f>19.26+60.35</f>
        <v>79.61</v>
      </c>
      <c r="M18" s="20">
        <f>21.4+71</f>
        <v>92.4</v>
      </c>
      <c r="N18" s="20">
        <v>88.85</v>
      </c>
      <c r="O18" s="20">
        <v>101.64</v>
      </c>
      <c r="P18" s="20">
        <v>84.57</v>
      </c>
      <c r="Q18" s="20">
        <f t="shared" si="0"/>
        <v>17051.14</v>
      </c>
    </row>
    <row r="19" spans="1:17" ht="12.75">
      <c r="A19" s="73">
        <f t="shared" si="1"/>
        <v>12</v>
      </c>
      <c r="B19" s="9" t="s">
        <v>83</v>
      </c>
      <c r="C19" s="9">
        <v>11101</v>
      </c>
      <c r="D19" s="17" t="s">
        <v>585</v>
      </c>
      <c r="E19" s="20">
        <v>2142.35</v>
      </c>
      <c r="F19" s="20">
        <v>1561.73</v>
      </c>
      <c r="G19" s="20">
        <v>1143.37</v>
      </c>
      <c r="H19" s="20">
        <v>1119.14</v>
      </c>
      <c r="I19" s="20">
        <v>888.05</v>
      </c>
      <c r="J19" s="20">
        <v>982.6</v>
      </c>
      <c r="K19" s="22">
        <v>808.28</v>
      </c>
      <c r="L19" s="20">
        <v>671.87</v>
      </c>
      <c r="M19" s="20">
        <v>954.18</v>
      </c>
      <c r="N19" s="20">
        <v>428.21</v>
      </c>
      <c r="O19" s="20">
        <v>1083.52</v>
      </c>
      <c r="P19" s="20">
        <v>1548.39</v>
      </c>
      <c r="Q19" s="20">
        <f t="shared" si="0"/>
        <v>13331.69</v>
      </c>
    </row>
    <row r="20" spans="1:17" ht="12.75">
      <c r="A20" s="73">
        <f t="shared" si="1"/>
        <v>13</v>
      </c>
      <c r="B20" s="9" t="s">
        <v>84</v>
      </c>
      <c r="C20" s="9">
        <v>11105</v>
      </c>
      <c r="D20" s="17">
        <v>2</v>
      </c>
      <c r="E20" s="20">
        <v>135.6</v>
      </c>
      <c r="F20" s="20">
        <v>108.48</v>
      </c>
      <c r="G20" s="20">
        <v>94.92</v>
      </c>
      <c r="H20" s="20">
        <v>67.8</v>
      </c>
      <c r="I20" s="22">
        <v>40.68</v>
      </c>
      <c r="J20" s="20">
        <v>27.12</v>
      </c>
      <c r="K20" s="22">
        <f>ROUND(0.04*143.25,0)*3.53*2</f>
        <v>42.36</v>
      </c>
      <c r="L20" s="22">
        <f>ROUND(0.04*235.08,0)*3.53*2</f>
        <v>63.54</v>
      </c>
      <c r="M20" s="22">
        <f>ROUND(0.04*314.17,0)*3.53*2</f>
        <v>91.78</v>
      </c>
      <c r="N20" s="22">
        <f>ROUND(0.04*430.83,0)*3.53*2</f>
        <v>120.02</v>
      </c>
      <c r="O20" s="22">
        <f>ROUND(0.04*492.08,0)*3.53*2</f>
        <v>141.2</v>
      </c>
      <c r="P20" s="22">
        <f>ROUND(0.04*548.5,0)*3.53*2</f>
        <v>155.32</v>
      </c>
      <c r="Q20" s="20">
        <f t="shared" si="0"/>
        <v>1088.82</v>
      </c>
    </row>
    <row r="21" spans="1:17" ht="12.75">
      <c r="A21" s="73">
        <f t="shared" si="1"/>
        <v>14</v>
      </c>
      <c r="B21" s="9" t="s">
        <v>85</v>
      </c>
      <c r="C21" s="9">
        <v>32008</v>
      </c>
      <c r="D21" s="17" t="s">
        <v>586</v>
      </c>
      <c r="E21" s="20"/>
      <c r="F21" s="20"/>
      <c r="G21" s="20"/>
      <c r="H21" s="20"/>
      <c r="I21" s="20"/>
      <c r="J21" s="20"/>
      <c r="K21" s="22"/>
      <c r="L21" s="20"/>
      <c r="M21" s="20"/>
      <c r="N21" s="20"/>
      <c r="O21" s="20"/>
      <c r="P21" s="20"/>
      <c r="Q21" s="20">
        <f t="shared" si="0"/>
        <v>0</v>
      </c>
    </row>
    <row r="22" spans="1:17" ht="12.75">
      <c r="A22" s="73">
        <f t="shared" si="1"/>
        <v>15</v>
      </c>
      <c r="B22" s="27" t="s">
        <v>86</v>
      </c>
      <c r="C22" s="9">
        <v>11113</v>
      </c>
      <c r="D22" s="26" t="s">
        <v>583</v>
      </c>
      <c r="E22" s="20">
        <v>93699.6</v>
      </c>
      <c r="F22" s="20">
        <v>81495.6</v>
      </c>
      <c r="G22" s="20">
        <v>66986.4</v>
      </c>
      <c r="H22" s="20">
        <v>61155.6</v>
      </c>
      <c r="I22" s="20">
        <v>54375.6</v>
      </c>
      <c r="J22" s="20">
        <v>67800</v>
      </c>
      <c r="K22" s="22">
        <v>58033.2</v>
      </c>
      <c r="L22" s="20">
        <v>62551.6</v>
      </c>
      <c r="M22" s="20">
        <v>76106.8</v>
      </c>
      <c r="N22" s="20">
        <v>79636.8</v>
      </c>
      <c r="O22" s="20">
        <v>87261.6</v>
      </c>
      <c r="P22" s="20">
        <v>76671.6</v>
      </c>
      <c r="Q22" s="20">
        <f t="shared" si="0"/>
        <v>865774.4</v>
      </c>
    </row>
    <row r="23" spans="1:17" ht="12.75">
      <c r="A23" s="73">
        <f t="shared" si="1"/>
        <v>16</v>
      </c>
      <c r="B23" s="27" t="s">
        <v>87</v>
      </c>
      <c r="C23" s="9">
        <v>11114</v>
      </c>
      <c r="D23" s="26" t="s">
        <v>583</v>
      </c>
      <c r="E23" s="20">
        <v>95394.6</v>
      </c>
      <c r="F23" s="20">
        <v>91631.7</v>
      </c>
      <c r="G23" s="20">
        <v>72410.4</v>
      </c>
      <c r="H23" s="20">
        <v>63155.7</v>
      </c>
      <c r="I23" s="20">
        <v>52291.1</v>
      </c>
      <c r="J23" s="20">
        <v>67228</v>
      </c>
      <c r="K23" s="22">
        <v>57609.6</v>
      </c>
      <c r="L23" s="20">
        <v>59198.1</v>
      </c>
      <c r="M23" s="20">
        <v>74235.9</v>
      </c>
      <c r="N23" s="20">
        <v>76248</v>
      </c>
      <c r="O23" s="20">
        <v>8802.9</v>
      </c>
      <c r="P23" s="20">
        <v>74341.8</v>
      </c>
      <c r="Q23" s="20">
        <f t="shared" si="0"/>
        <v>792547.8</v>
      </c>
    </row>
    <row r="24" spans="1:17" ht="12.75">
      <c r="A24" s="73">
        <f t="shared" si="1"/>
        <v>17</v>
      </c>
      <c r="B24" s="27" t="s">
        <v>88</v>
      </c>
      <c r="C24" s="9">
        <v>11111</v>
      </c>
      <c r="D24" s="26" t="s">
        <v>583</v>
      </c>
      <c r="E24" s="20">
        <v>116446.5</v>
      </c>
      <c r="F24" s="20">
        <v>103835.7</v>
      </c>
      <c r="G24" s="20">
        <v>84919.5</v>
      </c>
      <c r="H24" s="20">
        <v>75054.6</v>
      </c>
      <c r="I24" s="20">
        <v>69461.1</v>
      </c>
      <c r="J24" s="20">
        <v>81563.4</v>
      </c>
      <c r="K24" s="22">
        <v>69046.8</v>
      </c>
      <c r="L24" s="20">
        <v>134493</v>
      </c>
      <c r="M24" s="20">
        <v>23933.4</v>
      </c>
      <c r="N24" s="20">
        <v>86308.5</v>
      </c>
      <c r="O24" s="20">
        <v>91709.4</v>
      </c>
      <c r="P24" s="20">
        <v>78789.6</v>
      </c>
      <c r="Q24" s="20">
        <f t="shared" si="0"/>
        <v>1015561.5000000001</v>
      </c>
    </row>
    <row r="25" spans="1:17" ht="12.75">
      <c r="A25" s="73">
        <f t="shared" si="1"/>
        <v>18</v>
      </c>
      <c r="B25" s="27" t="s">
        <v>89</v>
      </c>
      <c r="C25" s="9">
        <v>11112</v>
      </c>
      <c r="D25" s="26" t="s">
        <v>583</v>
      </c>
      <c r="E25" s="20">
        <v>100141.1</v>
      </c>
      <c r="F25" s="20">
        <v>94987.8</v>
      </c>
      <c r="G25" s="20">
        <v>75258</v>
      </c>
      <c r="H25" s="20">
        <v>66816.9</v>
      </c>
      <c r="I25" s="20">
        <v>63765.9</v>
      </c>
      <c r="J25" s="20">
        <v>70986.6</v>
      </c>
      <c r="K25" s="22">
        <v>60998.4</v>
      </c>
      <c r="L25" s="20">
        <v>65658</v>
      </c>
      <c r="M25" s="20">
        <v>80695.8</v>
      </c>
      <c r="N25" s="20">
        <v>83766.9</v>
      </c>
      <c r="O25" s="20">
        <v>90968.1</v>
      </c>
      <c r="P25" s="20">
        <v>83237.4</v>
      </c>
      <c r="Q25" s="20">
        <f t="shared" si="0"/>
        <v>937280.9000000001</v>
      </c>
    </row>
    <row r="26" spans="1:17" ht="12.75">
      <c r="A26" s="73">
        <f t="shared" si="1"/>
        <v>19</v>
      </c>
      <c r="B26" s="9" t="s">
        <v>90</v>
      </c>
      <c r="C26" s="9">
        <v>21629</v>
      </c>
      <c r="D26" s="17">
        <v>2</v>
      </c>
      <c r="E26" s="20">
        <v>135.6</v>
      </c>
      <c r="F26" s="20">
        <v>108.48</v>
      </c>
      <c r="G26" s="20">
        <v>94.92</v>
      </c>
      <c r="H26" s="20">
        <v>67.8</v>
      </c>
      <c r="I26" s="22">
        <v>40.68</v>
      </c>
      <c r="J26" s="20">
        <v>27.12</v>
      </c>
      <c r="K26" s="22">
        <f>ROUND(0.04*143.25,0)*3.53*2</f>
        <v>42.36</v>
      </c>
      <c r="L26" s="22">
        <f>ROUND(0.04*235.08,0)*3.53*2</f>
        <v>63.54</v>
      </c>
      <c r="M26" s="22">
        <f>ROUND(0.04*314.17,0)*3.53*2</f>
        <v>91.78</v>
      </c>
      <c r="N26" s="22">
        <f>ROUND(0.04*430.83,0)*3.53*2</f>
        <v>120.02</v>
      </c>
      <c r="O26" s="22">
        <f>ROUND(0.04*492.08,0)*3.53*2</f>
        <v>141.2</v>
      </c>
      <c r="P26" s="22">
        <f>ROUND(0.04*548.5,0)*3.53*2</f>
        <v>155.32</v>
      </c>
      <c r="Q26" s="20">
        <f t="shared" si="0"/>
        <v>1088.82</v>
      </c>
    </row>
    <row r="27" spans="1:17" ht="12.75">
      <c r="A27" s="73">
        <f t="shared" si="1"/>
        <v>20</v>
      </c>
      <c r="B27" s="9" t="s">
        <v>91</v>
      </c>
      <c r="C27" s="9">
        <v>21625</v>
      </c>
      <c r="D27" s="17">
        <v>2</v>
      </c>
      <c r="E27" s="20">
        <v>135.6</v>
      </c>
      <c r="F27" s="20">
        <v>108.48</v>
      </c>
      <c r="G27" s="20">
        <v>94.92</v>
      </c>
      <c r="H27" s="20">
        <v>67.8</v>
      </c>
      <c r="I27" s="22">
        <v>40.68</v>
      </c>
      <c r="J27" s="20">
        <v>27.12</v>
      </c>
      <c r="K27" s="22">
        <f>ROUND(0.04*143.25,0)*3.53*2</f>
        <v>42.36</v>
      </c>
      <c r="L27" s="22">
        <f>ROUND(0.04*235.08,0)*3.53*2</f>
        <v>63.54</v>
      </c>
      <c r="M27" s="22">
        <f>ROUND(0.04*314.17,0)*3.53*2</f>
        <v>91.78</v>
      </c>
      <c r="N27" s="22">
        <f>ROUND(0.04*430.83,0)*3.53*2</f>
        <v>120.02</v>
      </c>
      <c r="O27" s="22">
        <f>ROUND(0.04*492.08,0)*3.53*2</f>
        <v>141.2</v>
      </c>
      <c r="P27" s="22">
        <f>ROUND(0.04*548.5,0)*3.53*2</f>
        <v>155.32</v>
      </c>
      <c r="Q27" s="20">
        <f t="shared" si="0"/>
        <v>1088.82</v>
      </c>
    </row>
    <row r="28" spans="1:17" ht="12.75">
      <c r="A28" s="73">
        <f t="shared" si="1"/>
        <v>21</v>
      </c>
      <c r="B28" s="9" t="s">
        <v>92</v>
      </c>
      <c r="C28" s="9">
        <v>21839</v>
      </c>
      <c r="D28" s="17">
        <v>0</v>
      </c>
      <c r="E28" s="21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2"/>
      <c r="L28" s="20"/>
      <c r="M28" s="20"/>
      <c r="N28" s="20"/>
      <c r="O28" s="20"/>
      <c r="P28" s="20"/>
      <c r="Q28" s="20">
        <f t="shared" si="0"/>
        <v>0</v>
      </c>
    </row>
    <row r="29" spans="1:17" ht="12.75">
      <c r="A29" s="73">
        <f t="shared" si="1"/>
        <v>22</v>
      </c>
      <c r="B29" s="9" t="s">
        <v>93</v>
      </c>
      <c r="C29" s="9">
        <v>12328</v>
      </c>
      <c r="D29" s="17" t="s">
        <v>585</v>
      </c>
      <c r="E29" s="20">
        <v>1514.92</v>
      </c>
      <c r="F29" s="20">
        <v>1938.75</v>
      </c>
      <c r="G29" s="20">
        <v>825.19</v>
      </c>
      <c r="H29" s="20">
        <v>702.07</v>
      </c>
      <c r="I29" s="20">
        <v>661.15</v>
      </c>
      <c r="J29" s="20">
        <v>713.51</v>
      </c>
      <c r="K29" s="22">
        <v>683.93</v>
      </c>
      <c r="L29" s="20">
        <v>900.63</v>
      </c>
      <c r="M29" s="20">
        <v>1223.68</v>
      </c>
      <c r="N29" s="20">
        <v>1313.84</v>
      </c>
      <c r="O29" s="20">
        <v>1502.72</v>
      </c>
      <c r="P29" s="20">
        <v>1769.95</v>
      </c>
      <c r="Q29" s="20">
        <f t="shared" si="0"/>
        <v>13750.34</v>
      </c>
    </row>
    <row r="30" spans="1:231" s="44" customFormat="1" ht="12.75">
      <c r="A30" s="73">
        <f t="shared" si="1"/>
        <v>23</v>
      </c>
      <c r="B30" s="9" t="s">
        <v>94</v>
      </c>
      <c r="C30" s="10"/>
      <c r="D30" s="17">
        <v>2</v>
      </c>
      <c r="E30" s="20">
        <v>135.6</v>
      </c>
      <c r="F30" s="20">
        <v>108.48</v>
      </c>
      <c r="G30" s="20">
        <v>94.92</v>
      </c>
      <c r="H30" s="20">
        <v>67.8</v>
      </c>
      <c r="I30" s="22">
        <v>40.68</v>
      </c>
      <c r="J30" s="20">
        <v>27.12</v>
      </c>
      <c r="K30" s="22">
        <f>ROUND(0.04*143.25,0)*3.53*2</f>
        <v>42.36</v>
      </c>
      <c r="L30" s="22">
        <f>ROUND(0.04*235.08,0)*3.53*2</f>
        <v>63.54</v>
      </c>
      <c r="M30" s="22">
        <f>ROUND(0.04*314.17,0)*3.53*2</f>
        <v>91.78</v>
      </c>
      <c r="N30" s="22">
        <f>ROUND(0.04*430.83,0)*3.53*2</f>
        <v>120.02</v>
      </c>
      <c r="O30" s="22">
        <f>ROUND(0.04*492.08,0)*3.53*2</f>
        <v>141.2</v>
      </c>
      <c r="P30" s="22">
        <f>ROUND(0.04*548.5,0)*3.53*2</f>
        <v>155.32</v>
      </c>
      <c r="Q30" s="20">
        <f t="shared" si="0"/>
        <v>1088.82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</row>
    <row r="31" spans="1:17" ht="12.75">
      <c r="A31" s="73">
        <f t="shared" si="1"/>
        <v>24</v>
      </c>
      <c r="B31" s="9" t="s">
        <v>95</v>
      </c>
      <c r="C31" s="9">
        <v>21868</v>
      </c>
      <c r="D31" s="17" t="s">
        <v>585</v>
      </c>
      <c r="E31" s="20">
        <v>3847.16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2">
        <v>458.7</v>
      </c>
      <c r="L31" s="20">
        <v>312.32</v>
      </c>
      <c r="M31" s="20">
        <v>570.31</v>
      </c>
      <c r="N31" s="20">
        <v>535.49</v>
      </c>
      <c r="O31" s="20">
        <v>484.33</v>
      </c>
      <c r="P31" s="20">
        <v>1763.28</v>
      </c>
      <c r="Q31" s="20">
        <f t="shared" si="0"/>
        <v>7971.589999999999</v>
      </c>
    </row>
    <row r="32" spans="1:17" ht="12.75">
      <c r="A32" s="73">
        <f t="shared" si="1"/>
        <v>25</v>
      </c>
      <c r="B32" s="9" t="s">
        <v>96</v>
      </c>
      <c r="C32" s="9">
        <v>21869</v>
      </c>
      <c r="D32" s="17" t="s">
        <v>585</v>
      </c>
      <c r="E32" s="20">
        <v>630.48</v>
      </c>
      <c r="F32" s="20">
        <v>884.66</v>
      </c>
      <c r="G32" s="20">
        <v>630.85</v>
      </c>
      <c r="H32" s="20">
        <v>1001.01</v>
      </c>
      <c r="I32" s="20">
        <v>271.58</v>
      </c>
      <c r="J32" s="20">
        <v>473.76</v>
      </c>
      <c r="K32" s="22">
        <v>664.85</v>
      </c>
      <c r="L32" s="20">
        <v>658.91</v>
      </c>
      <c r="M32" s="20">
        <v>606.29</v>
      </c>
      <c r="N32" s="20">
        <v>593.5</v>
      </c>
      <c r="O32" s="20">
        <v>570.74</v>
      </c>
      <c r="P32" s="20">
        <v>1229.7</v>
      </c>
      <c r="Q32" s="20">
        <f t="shared" si="0"/>
        <v>8216.33</v>
      </c>
    </row>
    <row r="33" spans="1:17" ht="12.75">
      <c r="A33" s="73">
        <f t="shared" si="1"/>
        <v>26</v>
      </c>
      <c r="B33" s="9" t="s">
        <v>97</v>
      </c>
      <c r="C33" s="9">
        <v>21870</v>
      </c>
      <c r="D33" s="17" t="s">
        <v>585</v>
      </c>
      <c r="E33" s="20">
        <v>771.28</v>
      </c>
      <c r="F33" s="20">
        <v>889.49</v>
      </c>
      <c r="G33" s="20">
        <v>856.67</v>
      </c>
      <c r="H33" s="20">
        <v>371.69</v>
      </c>
      <c r="I33" s="20">
        <v>760.18</v>
      </c>
      <c r="J33" s="20">
        <v>502.96</v>
      </c>
      <c r="K33" s="22">
        <v>646.27</v>
      </c>
      <c r="L33" s="20">
        <v>366.98</v>
      </c>
      <c r="M33" s="20">
        <v>686.15</v>
      </c>
      <c r="N33" s="20">
        <v>662.66</v>
      </c>
      <c r="O33" s="20">
        <v>584.46</v>
      </c>
      <c r="P33" s="20">
        <v>591.26</v>
      </c>
      <c r="Q33" s="20">
        <f t="shared" si="0"/>
        <v>7690.049999999998</v>
      </c>
    </row>
    <row r="34" spans="1:17" ht="12.75">
      <c r="A34" s="73">
        <f t="shared" si="1"/>
        <v>27</v>
      </c>
      <c r="B34" s="47" t="s">
        <v>600</v>
      </c>
      <c r="C34" s="10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f t="shared" si="0"/>
        <v>0</v>
      </c>
    </row>
    <row r="35" spans="1:17" ht="12.75">
      <c r="A35" s="73">
        <f t="shared" si="1"/>
        <v>28</v>
      </c>
      <c r="B35" s="9" t="s">
        <v>98</v>
      </c>
      <c r="C35" s="9">
        <v>23639</v>
      </c>
      <c r="D35" s="17">
        <v>1</v>
      </c>
      <c r="E35" s="21">
        <v>67.8</v>
      </c>
      <c r="F35" s="20">
        <v>54.24</v>
      </c>
      <c r="G35" s="20">
        <v>47.46</v>
      </c>
      <c r="H35" s="20">
        <v>33.9</v>
      </c>
      <c r="I35" s="20">
        <v>20.34</v>
      </c>
      <c r="J35" s="20">
        <v>13.56</v>
      </c>
      <c r="K35" s="22">
        <f>ROUND(0.04*143.25,0)*3.53</f>
        <v>21.18</v>
      </c>
      <c r="L35" s="22">
        <f>ROUND(0.04*235.08,0)*3.53</f>
        <v>31.77</v>
      </c>
      <c r="M35" s="22">
        <f>ROUND(0.04*314.17,0)*3.53</f>
        <v>45.89</v>
      </c>
      <c r="N35" s="22">
        <f>ROUND(0.04*430.83,0)*3.53</f>
        <v>60.01</v>
      </c>
      <c r="O35" s="22">
        <f>ROUND(0.04*492.08,0)*3.53</f>
        <v>70.6</v>
      </c>
      <c r="P35" s="22">
        <f>ROUND(0.04*548.5,0)*3.53</f>
        <v>77.66</v>
      </c>
      <c r="Q35" s="20">
        <f t="shared" si="0"/>
        <v>544.41</v>
      </c>
    </row>
    <row r="36" spans="1:17" ht="12.75">
      <c r="A36" s="73">
        <f t="shared" si="1"/>
        <v>29</v>
      </c>
      <c r="B36" s="9" t="s">
        <v>99</v>
      </c>
      <c r="C36" s="9">
        <v>11311</v>
      </c>
      <c r="D36" s="17" t="s">
        <v>585</v>
      </c>
      <c r="E36" s="20">
        <v>2421.32</v>
      </c>
      <c r="F36" s="20">
        <v>1934.12</v>
      </c>
      <c r="G36" s="20">
        <v>1096.84</v>
      </c>
      <c r="H36" s="20">
        <v>801.95</v>
      </c>
      <c r="I36" s="20">
        <v>490.66</v>
      </c>
      <c r="J36" s="20">
        <v>469.28</v>
      </c>
      <c r="K36" s="22">
        <v>437.5</v>
      </c>
      <c r="L36" s="20">
        <v>676</v>
      </c>
      <c r="M36" s="20">
        <v>654.65</v>
      </c>
      <c r="N36" s="20">
        <v>1297.09</v>
      </c>
      <c r="O36" s="20">
        <v>1008.92</v>
      </c>
      <c r="P36" s="20">
        <v>1416.21</v>
      </c>
      <c r="Q36" s="20">
        <f t="shared" si="0"/>
        <v>12704.54</v>
      </c>
    </row>
    <row r="37" spans="1:17" ht="12.75">
      <c r="A37" s="73">
        <f t="shared" si="1"/>
        <v>30</v>
      </c>
      <c r="B37" s="9" t="s">
        <v>100</v>
      </c>
      <c r="C37" s="9">
        <v>11313</v>
      </c>
      <c r="D37" s="17" t="s">
        <v>585</v>
      </c>
      <c r="E37" s="20">
        <v>1290.51</v>
      </c>
      <c r="F37" s="20">
        <v>1249.3</v>
      </c>
      <c r="G37" s="20">
        <v>784.2</v>
      </c>
      <c r="H37" s="20">
        <v>597.86</v>
      </c>
      <c r="I37" s="20">
        <v>593.88</v>
      </c>
      <c r="J37" s="20">
        <v>573.92</v>
      </c>
      <c r="K37" s="22">
        <v>459.63</v>
      </c>
      <c r="L37" s="20">
        <v>572.8</v>
      </c>
      <c r="M37" s="20">
        <v>553.59</v>
      </c>
      <c r="N37" s="20">
        <v>1226.12</v>
      </c>
      <c r="O37" s="20">
        <v>830.44</v>
      </c>
      <c r="P37" s="20">
        <v>1315.25</v>
      </c>
      <c r="Q37" s="20">
        <f t="shared" si="0"/>
        <v>10047.5</v>
      </c>
    </row>
    <row r="38" spans="1:17" ht="12.75">
      <c r="A38" s="73">
        <f t="shared" si="1"/>
        <v>31</v>
      </c>
      <c r="B38" s="9" t="s">
        <v>101</v>
      </c>
      <c r="C38" s="9">
        <v>11315</v>
      </c>
      <c r="D38" s="31" t="s">
        <v>588</v>
      </c>
      <c r="E38" s="20">
        <v>1750.51</v>
      </c>
      <c r="F38" s="20">
        <v>728.74</v>
      </c>
      <c r="G38" s="20">
        <v>759.14</v>
      </c>
      <c r="H38" s="20">
        <v>677.73</v>
      </c>
      <c r="I38" s="20">
        <v>607.33</v>
      </c>
      <c r="J38" s="20">
        <v>747.92</v>
      </c>
      <c r="K38" s="22">
        <v>668.38</v>
      </c>
      <c r="L38" s="20">
        <v>1858.98</v>
      </c>
      <c r="M38" s="20">
        <v>2878.98</v>
      </c>
      <c r="N38" s="20">
        <v>2673.23</v>
      </c>
      <c r="O38" s="20">
        <v>2819.41</v>
      </c>
      <c r="P38" s="20">
        <v>2553.74</v>
      </c>
      <c r="Q38" s="20">
        <f t="shared" si="0"/>
        <v>18724.089999999997</v>
      </c>
    </row>
    <row r="39" spans="1:17" ht="12.75">
      <c r="A39" s="73">
        <f t="shared" si="1"/>
        <v>32</v>
      </c>
      <c r="B39" s="9" t="s">
        <v>102</v>
      </c>
      <c r="C39" s="9">
        <v>11116</v>
      </c>
      <c r="D39" s="31" t="s">
        <v>588</v>
      </c>
      <c r="E39" s="20">
        <v>2471.85</v>
      </c>
      <c r="F39" s="20">
        <v>1078.12</v>
      </c>
      <c r="G39" s="20">
        <v>2193.23</v>
      </c>
      <c r="H39" s="20">
        <v>2237.7</v>
      </c>
      <c r="I39" s="20">
        <v>1884.7</v>
      </c>
      <c r="J39" s="20">
        <v>2094.13</v>
      </c>
      <c r="K39" s="22">
        <v>1903.62</v>
      </c>
      <c r="L39" s="20">
        <v>2138.12</v>
      </c>
      <c r="M39" s="20">
        <v>2470.81</v>
      </c>
      <c r="N39" s="20">
        <v>2436.72</v>
      </c>
      <c r="O39" s="20">
        <v>2347.82</v>
      </c>
      <c r="P39" s="20">
        <v>2360.03</v>
      </c>
      <c r="Q39" s="20">
        <f t="shared" si="0"/>
        <v>25616.85</v>
      </c>
    </row>
    <row r="40" spans="1:17" ht="12.75">
      <c r="A40" s="73">
        <f t="shared" si="1"/>
        <v>33</v>
      </c>
      <c r="B40" s="9" t="s">
        <v>103</v>
      </c>
      <c r="C40" s="9">
        <v>11317</v>
      </c>
      <c r="D40" s="17" t="s">
        <v>585</v>
      </c>
      <c r="E40" s="20">
        <v>797.14</v>
      </c>
      <c r="F40" s="20">
        <v>720.63</v>
      </c>
      <c r="G40" s="20">
        <v>1189.63</v>
      </c>
      <c r="H40" s="20">
        <v>231.02</v>
      </c>
      <c r="I40" s="20">
        <v>313.71</v>
      </c>
      <c r="J40" s="20">
        <v>359.46</v>
      </c>
      <c r="K40" s="22">
        <v>356.91</v>
      </c>
      <c r="L40" s="20">
        <v>346.99</v>
      </c>
      <c r="M40" s="20">
        <v>412.35</v>
      </c>
      <c r="N40" s="20">
        <v>403.84</v>
      </c>
      <c r="O40" s="20">
        <v>448.63</v>
      </c>
      <c r="P40" s="20">
        <v>840.84</v>
      </c>
      <c r="Q40" s="20">
        <f t="shared" si="0"/>
        <v>6421.150000000001</v>
      </c>
    </row>
    <row r="41" spans="1:17" ht="12.75">
      <c r="A41" s="73">
        <f t="shared" si="1"/>
        <v>34</v>
      </c>
      <c r="B41" s="9" t="s">
        <v>104</v>
      </c>
      <c r="C41" s="9">
        <v>11319</v>
      </c>
      <c r="D41" s="17" t="s">
        <v>585</v>
      </c>
      <c r="E41" s="20">
        <v>760.41</v>
      </c>
      <c r="F41" s="20">
        <v>1160.08</v>
      </c>
      <c r="G41" s="20">
        <v>323.23</v>
      </c>
      <c r="H41" s="20">
        <v>507.72</v>
      </c>
      <c r="I41" s="20">
        <v>795.36</v>
      </c>
      <c r="J41" s="20">
        <v>974.38</v>
      </c>
      <c r="K41" s="22">
        <v>558.83</v>
      </c>
      <c r="L41" s="20">
        <v>504.12</v>
      </c>
      <c r="M41" s="20">
        <v>741.54</v>
      </c>
      <c r="N41" s="20">
        <v>622.83</v>
      </c>
      <c r="O41" s="20">
        <v>652.69</v>
      </c>
      <c r="P41" s="20">
        <v>429.32</v>
      </c>
      <c r="Q41" s="20">
        <f t="shared" si="0"/>
        <v>8030.509999999998</v>
      </c>
    </row>
    <row r="42" spans="1:17" ht="12.75">
      <c r="A42" s="73">
        <f t="shared" si="1"/>
        <v>35</v>
      </c>
      <c r="B42" s="9" t="s">
        <v>105</v>
      </c>
      <c r="C42" s="9">
        <v>11120</v>
      </c>
      <c r="D42" s="17" t="s">
        <v>585</v>
      </c>
      <c r="E42" s="20">
        <v>2407.39</v>
      </c>
      <c r="F42" s="20">
        <v>1624.46</v>
      </c>
      <c r="G42" s="20">
        <v>1236.3</v>
      </c>
      <c r="H42" s="20">
        <v>1058.7</v>
      </c>
      <c r="I42" s="20">
        <v>678.14</v>
      </c>
      <c r="J42" s="20">
        <v>570.44</v>
      </c>
      <c r="K42" s="22">
        <v>478.11</v>
      </c>
      <c r="L42" s="20">
        <v>548.53</v>
      </c>
      <c r="M42" s="20">
        <v>897.66</v>
      </c>
      <c r="N42" s="20">
        <v>732.4</v>
      </c>
      <c r="O42" s="20">
        <v>2026.45</v>
      </c>
      <c r="P42" s="20">
        <v>1804.39</v>
      </c>
      <c r="Q42" s="20">
        <f t="shared" si="0"/>
        <v>14062.97</v>
      </c>
    </row>
    <row r="43" spans="1:17" ht="12.75">
      <c r="A43" s="73">
        <f t="shared" si="1"/>
        <v>36</v>
      </c>
      <c r="B43" s="9" t="s">
        <v>106</v>
      </c>
      <c r="C43" s="9">
        <v>11321</v>
      </c>
      <c r="D43" s="17" t="s">
        <v>585</v>
      </c>
      <c r="E43" s="20">
        <v>2675.22</v>
      </c>
      <c r="F43" s="20">
        <v>2005.8</v>
      </c>
      <c r="G43" s="20">
        <v>1389.03</v>
      </c>
      <c r="H43" s="20">
        <v>990.93</v>
      </c>
      <c r="I43" s="20">
        <v>1027.36</v>
      </c>
      <c r="J43" s="20">
        <v>980.2</v>
      </c>
      <c r="K43" s="22">
        <v>825.68</v>
      </c>
      <c r="L43" s="20">
        <v>975.96</v>
      </c>
      <c r="M43" s="20">
        <v>1300.72</v>
      </c>
      <c r="N43" s="20">
        <v>1440.63</v>
      </c>
      <c r="O43" s="20">
        <v>1472.63</v>
      </c>
      <c r="P43" s="20">
        <v>1914.24</v>
      </c>
      <c r="Q43" s="20">
        <f t="shared" si="0"/>
        <v>16998.4</v>
      </c>
    </row>
    <row r="44" spans="1:17" ht="12.75">
      <c r="A44" s="73">
        <f t="shared" si="1"/>
        <v>37</v>
      </c>
      <c r="B44" s="9" t="s">
        <v>107</v>
      </c>
      <c r="C44" s="9">
        <v>11122</v>
      </c>
      <c r="D44" s="17" t="s">
        <v>585</v>
      </c>
      <c r="E44" s="20">
        <v>1972.98</v>
      </c>
      <c r="F44" s="20">
        <v>1572.96</v>
      </c>
      <c r="G44" s="20">
        <v>1020.39</v>
      </c>
      <c r="H44" s="20">
        <v>776.31</v>
      </c>
      <c r="I44" s="20">
        <v>576.3</v>
      </c>
      <c r="J44" s="20">
        <v>667.83</v>
      </c>
      <c r="K44" s="22">
        <v>420.07</v>
      </c>
      <c r="L44" s="20">
        <v>444.78</v>
      </c>
      <c r="M44" s="20">
        <v>691.88</v>
      </c>
      <c r="N44" s="20">
        <v>1193.14</v>
      </c>
      <c r="O44" s="20">
        <v>691.88</v>
      </c>
      <c r="P44" s="20">
        <v>727.18</v>
      </c>
      <c r="Q44" s="20">
        <f t="shared" si="0"/>
        <v>10755.699999999999</v>
      </c>
    </row>
    <row r="45" spans="1:17" ht="12.75">
      <c r="A45" s="73">
        <f t="shared" si="1"/>
        <v>38</v>
      </c>
      <c r="B45" s="9" t="s">
        <v>108</v>
      </c>
      <c r="C45" s="9">
        <v>11323</v>
      </c>
      <c r="D45" s="17">
        <v>25</v>
      </c>
      <c r="E45" s="20">
        <v>1695</v>
      </c>
      <c r="F45" s="20">
        <v>1356</v>
      </c>
      <c r="G45" s="20">
        <v>1186.5</v>
      </c>
      <c r="H45" s="20">
        <v>847.5</v>
      </c>
      <c r="I45" s="20">
        <v>508.5</v>
      </c>
      <c r="J45" s="20">
        <v>339</v>
      </c>
      <c r="K45" s="22">
        <f>ROUND(0.04*143.25,0)*3.53*25</f>
        <v>529.5</v>
      </c>
      <c r="L45" s="22">
        <f>ROUND(0.04*235.08,0)*3.53*25</f>
        <v>794.25</v>
      </c>
      <c r="M45" s="22">
        <f>ROUND(0.04*314.17,0)*3.53*25</f>
        <v>1147.25</v>
      </c>
      <c r="N45" s="22">
        <f>ROUND(0.04*430.83,0)*3.53*25</f>
        <v>1500.25</v>
      </c>
      <c r="O45" s="22">
        <f>ROUND(0.04*492.08,0)*3.53*25</f>
        <v>1764.9999999999998</v>
      </c>
      <c r="P45" s="22">
        <f>ROUND(0.04*548.5,0)*3.53*25</f>
        <v>1941.5</v>
      </c>
      <c r="Q45" s="20">
        <f t="shared" si="0"/>
        <v>13610.25</v>
      </c>
    </row>
    <row r="46" spans="1:17" ht="12.75">
      <c r="A46" s="73">
        <f t="shared" si="1"/>
        <v>39</v>
      </c>
      <c r="B46" s="9" t="s">
        <v>109</v>
      </c>
      <c r="C46" s="9">
        <v>11325</v>
      </c>
      <c r="D46" s="17" t="s">
        <v>585</v>
      </c>
      <c r="E46" s="20">
        <v>504.88</v>
      </c>
      <c r="F46" s="20">
        <v>519.37</v>
      </c>
      <c r="G46" s="20">
        <v>603.34</v>
      </c>
      <c r="H46" s="20">
        <v>927.28</v>
      </c>
      <c r="I46" s="20">
        <v>829.53</v>
      </c>
      <c r="J46" s="20">
        <v>961.38</v>
      </c>
      <c r="K46" s="22">
        <v>777.72</v>
      </c>
      <c r="L46" s="20">
        <v>862.97</v>
      </c>
      <c r="M46" s="20">
        <v>651.13</v>
      </c>
      <c r="N46" s="20">
        <v>745.82</v>
      </c>
      <c r="O46" s="20">
        <v>1236.9</v>
      </c>
      <c r="P46" s="20">
        <v>464.92</v>
      </c>
      <c r="Q46" s="20">
        <f t="shared" si="0"/>
        <v>9085.24</v>
      </c>
    </row>
    <row r="47" spans="1:17" ht="12.75">
      <c r="A47" s="73">
        <f t="shared" si="1"/>
        <v>40</v>
      </c>
      <c r="B47" s="9" t="s">
        <v>110</v>
      </c>
      <c r="C47" s="11">
        <v>32026</v>
      </c>
      <c r="D47" s="32" t="s">
        <v>587</v>
      </c>
      <c r="E47" s="20"/>
      <c r="F47" s="20"/>
      <c r="G47" s="20"/>
      <c r="H47" s="20"/>
      <c r="I47" s="20"/>
      <c r="J47" s="20"/>
      <c r="K47" s="22"/>
      <c r="L47" s="20"/>
      <c r="M47" s="20"/>
      <c r="N47" s="20"/>
      <c r="O47" s="20"/>
      <c r="P47" s="20"/>
      <c r="Q47" s="20">
        <f t="shared" si="0"/>
        <v>0</v>
      </c>
    </row>
    <row r="48" spans="1:231" s="44" customFormat="1" ht="12.75">
      <c r="A48" s="73">
        <f t="shared" si="1"/>
        <v>41</v>
      </c>
      <c r="B48" s="9" t="s">
        <v>111</v>
      </c>
      <c r="C48" s="9">
        <v>11327</v>
      </c>
      <c r="D48" s="17" t="s">
        <v>585</v>
      </c>
      <c r="E48" s="20">
        <v>515.04</v>
      </c>
      <c r="F48" s="20">
        <v>456.36</v>
      </c>
      <c r="G48" s="20">
        <v>371.04</v>
      </c>
      <c r="H48" s="20">
        <v>267.96</v>
      </c>
      <c r="I48" s="20">
        <v>370.54</v>
      </c>
      <c r="J48" s="20">
        <v>460.12</v>
      </c>
      <c r="K48" s="22">
        <v>401.12</v>
      </c>
      <c r="L48" s="20">
        <v>396.16</v>
      </c>
      <c r="M48" s="20">
        <v>582.32</v>
      </c>
      <c r="N48" s="20">
        <v>540.35</v>
      </c>
      <c r="O48" s="20">
        <v>449.99</v>
      </c>
      <c r="P48" s="20">
        <v>385.99</v>
      </c>
      <c r="Q48" s="20">
        <f t="shared" si="0"/>
        <v>5196.99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</row>
    <row r="49" spans="1:17" ht="12.75">
      <c r="A49" s="73">
        <f t="shared" si="1"/>
        <v>42</v>
      </c>
      <c r="B49" s="9" t="s">
        <v>112</v>
      </c>
      <c r="C49" s="9">
        <v>11128</v>
      </c>
      <c r="D49" s="17" t="s">
        <v>585</v>
      </c>
      <c r="E49" s="20">
        <v>418.78</v>
      </c>
      <c r="F49" s="20">
        <v>418.78</v>
      </c>
      <c r="G49" s="20">
        <v>355.27</v>
      </c>
      <c r="H49" s="20">
        <v>357.33</v>
      </c>
      <c r="I49" s="20">
        <v>342.98</v>
      </c>
      <c r="J49" s="20">
        <v>469.36</v>
      </c>
      <c r="K49" s="22">
        <v>381.76</v>
      </c>
      <c r="L49" s="20">
        <v>527.51</v>
      </c>
      <c r="M49" s="20">
        <v>479.17</v>
      </c>
      <c r="N49" s="20">
        <v>662.46</v>
      </c>
      <c r="O49" s="20">
        <v>584.26</v>
      </c>
      <c r="P49" s="20">
        <v>478.34</v>
      </c>
      <c r="Q49" s="20">
        <f t="shared" si="0"/>
        <v>5476.000000000001</v>
      </c>
    </row>
    <row r="50" spans="1:17" ht="12.75">
      <c r="A50" s="73">
        <f t="shared" si="1"/>
        <v>43</v>
      </c>
      <c r="B50" s="9" t="s">
        <v>113</v>
      </c>
      <c r="C50" s="9">
        <v>11329</v>
      </c>
      <c r="D50" s="17" t="s">
        <v>585</v>
      </c>
      <c r="E50" s="20">
        <v>572.44</v>
      </c>
      <c r="F50" s="20">
        <v>414.09</v>
      </c>
      <c r="G50" s="20">
        <v>332.89</v>
      </c>
      <c r="H50" s="20">
        <v>257.09</v>
      </c>
      <c r="I50" s="20">
        <v>144.28</v>
      </c>
      <c r="J50" s="20">
        <v>182.57</v>
      </c>
      <c r="K50" s="22">
        <v>171.38</v>
      </c>
      <c r="L50" s="20">
        <v>161.46</v>
      </c>
      <c r="M50" s="20">
        <v>357.01</v>
      </c>
      <c r="N50" s="20">
        <v>320</v>
      </c>
      <c r="O50" s="20">
        <v>760.65</v>
      </c>
      <c r="P50" s="20">
        <v>453.54</v>
      </c>
      <c r="Q50" s="20">
        <f t="shared" si="0"/>
        <v>4127.400000000001</v>
      </c>
    </row>
    <row r="51" spans="1:17" ht="12.75">
      <c r="A51" s="73">
        <f t="shared" si="1"/>
        <v>44</v>
      </c>
      <c r="B51" s="9" t="s">
        <v>114</v>
      </c>
      <c r="C51" s="9">
        <v>11203</v>
      </c>
      <c r="D51" s="17" t="s">
        <v>585</v>
      </c>
      <c r="E51" s="20">
        <v>1923.54</v>
      </c>
      <c r="F51" s="20">
        <v>1721.07</v>
      </c>
      <c r="G51" s="20">
        <v>1146</v>
      </c>
      <c r="H51" s="20">
        <v>970.74</v>
      </c>
      <c r="I51" s="20">
        <v>637</v>
      </c>
      <c r="J51" s="20">
        <v>629.4</v>
      </c>
      <c r="K51" s="22">
        <v>520.08</v>
      </c>
      <c r="L51" s="20">
        <v>559.33</v>
      </c>
      <c r="M51" s="20">
        <v>540.12</v>
      </c>
      <c r="N51" s="20">
        <v>964.68</v>
      </c>
      <c r="O51" s="20">
        <v>1074.96</v>
      </c>
      <c r="P51" s="20">
        <v>1632.1</v>
      </c>
      <c r="Q51" s="20">
        <f t="shared" si="0"/>
        <v>12319.019999999999</v>
      </c>
    </row>
    <row r="52" spans="1:17" ht="12.75">
      <c r="A52" s="73">
        <f t="shared" si="1"/>
        <v>45</v>
      </c>
      <c r="B52" s="9" t="s">
        <v>115</v>
      </c>
      <c r="C52" s="9">
        <v>11130</v>
      </c>
      <c r="D52" s="17">
        <v>14</v>
      </c>
      <c r="E52" s="20">
        <v>949.2</v>
      </c>
      <c r="F52" s="20">
        <v>759.36</v>
      </c>
      <c r="G52" s="20">
        <v>664.44</v>
      </c>
      <c r="H52" s="20">
        <v>474.6</v>
      </c>
      <c r="I52" s="20">
        <v>284.76</v>
      </c>
      <c r="J52" s="20">
        <v>189.84</v>
      </c>
      <c r="K52" s="22">
        <f>ROUND(0.04*143.25,0)*3.53*14</f>
        <v>296.52</v>
      </c>
      <c r="L52" s="22">
        <f>ROUND(0.04*235.08,0)*3.53*14</f>
        <v>444.78</v>
      </c>
      <c r="M52" s="22">
        <f>ROUND(0.04*314.17,0)*3.53*14</f>
        <v>642.46</v>
      </c>
      <c r="N52" s="22">
        <f>ROUND(0.04*430.83,0)*3.53*14</f>
        <v>840.14</v>
      </c>
      <c r="O52" s="22">
        <f>ROUND(0.04*492.08,0)*3.53*14</f>
        <v>988.3999999999999</v>
      </c>
      <c r="P52" s="22">
        <f>ROUND(0.04*548.5,0)*3.53*14</f>
        <v>1087.24</v>
      </c>
      <c r="Q52" s="20">
        <f t="shared" si="0"/>
        <v>7621.74</v>
      </c>
    </row>
    <row r="53" spans="1:17" ht="12.75">
      <c r="A53" s="73">
        <f t="shared" si="1"/>
        <v>46</v>
      </c>
      <c r="B53" s="48" t="s">
        <v>116</v>
      </c>
      <c r="C53" s="10">
        <v>11331</v>
      </c>
      <c r="D53" s="49" t="s">
        <v>584</v>
      </c>
      <c r="E53" s="43">
        <v>119.1</v>
      </c>
      <c r="F53" s="43">
        <v>167.42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 t="shared" si="0"/>
        <v>286.52</v>
      </c>
    </row>
    <row r="54" spans="1:17" ht="12.75">
      <c r="A54" s="73">
        <f t="shared" si="1"/>
        <v>47</v>
      </c>
      <c r="B54" s="9" t="s">
        <v>117</v>
      </c>
      <c r="C54" s="9">
        <v>11132</v>
      </c>
      <c r="D54" s="17">
        <v>14</v>
      </c>
      <c r="E54" s="20">
        <v>949.2</v>
      </c>
      <c r="F54" s="20">
        <v>759.36</v>
      </c>
      <c r="G54" s="20">
        <v>664.44</v>
      </c>
      <c r="H54" s="20">
        <v>474.6</v>
      </c>
      <c r="I54" s="20">
        <v>284.76</v>
      </c>
      <c r="J54" s="20">
        <v>189.84</v>
      </c>
      <c r="K54" s="22">
        <f>ROUND(0.04*143.25,0)*3.53*14</f>
        <v>296.52</v>
      </c>
      <c r="L54" s="22">
        <f>ROUND(0.04*235.08,0)*3.53*14</f>
        <v>444.78</v>
      </c>
      <c r="M54" s="22">
        <f>ROUND(0.04*314.17,0)*3.53*14</f>
        <v>642.46</v>
      </c>
      <c r="N54" s="22">
        <f>ROUND(0.04*430.83,0)*3.53*14</f>
        <v>840.14</v>
      </c>
      <c r="O54" s="22">
        <f>ROUND(0.04*492.08,0)*3.53*14</f>
        <v>988.3999999999999</v>
      </c>
      <c r="P54" s="22">
        <f>ROUND(0.04*548.5,0)*3.53*14</f>
        <v>1087.24</v>
      </c>
      <c r="Q54" s="20">
        <f t="shared" si="0"/>
        <v>7621.74</v>
      </c>
    </row>
    <row r="55" spans="1:17" ht="12.75">
      <c r="A55" s="73">
        <f t="shared" si="1"/>
        <v>48</v>
      </c>
      <c r="B55" s="9" t="s">
        <v>118</v>
      </c>
      <c r="C55" s="9">
        <v>11333</v>
      </c>
      <c r="D55" s="17" t="s">
        <v>585</v>
      </c>
      <c r="E55" s="20">
        <v>1766.48</v>
      </c>
      <c r="F55" s="20">
        <v>1419.8</v>
      </c>
      <c r="G55" s="20">
        <v>1100.83</v>
      </c>
      <c r="H55" s="20">
        <v>845.44</v>
      </c>
      <c r="I55" s="20">
        <v>854.32</v>
      </c>
      <c r="J55" s="20">
        <v>1061.9</v>
      </c>
      <c r="K55" s="22">
        <v>529.75</v>
      </c>
      <c r="L55" s="20">
        <v>700.4</v>
      </c>
      <c r="M55" s="20">
        <v>1056.53</v>
      </c>
      <c r="N55" s="20">
        <v>1231.31</v>
      </c>
      <c r="O55" s="20">
        <v>1045.63</v>
      </c>
      <c r="P55" s="20">
        <v>464.14</v>
      </c>
      <c r="Q55" s="20">
        <f t="shared" si="0"/>
        <v>12076.529999999999</v>
      </c>
    </row>
    <row r="56" spans="1:17" ht="12.75">
      <c r="A56" s="73">
        <f t="shared" si="1"/>
        <v>49</v>
      </c>
      <c r="B56" s="27" t="s">
        <v>119</v>
      </c>
      <c r="C56" s="12">
        <v>32034</v>
      </c>
      <c r="D56" s="26" t="s">
        <v>583</v>
      </c>
      <c r="E56" s="20">
        <v>19295.88</v>
      </c>
      <c r="F56" s="20">
        <v>20173.89</v>
      </c>
      <c r="G56" s="20">
        <v>16963.56</v>
      </c>
      <c r="H56" s="20">
        <v>15414.33</v>
      </c>
      <c r="I56" s="20">
        <v>14705.82</v>
      </c>
      <c r="J56" s="20">
        <v>17577.15</v>
      </c>
      <c r="K56" s="22">
        <v>16199.17</v>
      </c>
      <c r="L56" s="20">
        <v>17145.21</v>
      </c>
      <c r="M56" s="20">
        <v>23725.13</v>
      </c>
      <c r="N56" s="20">
        <v>22313.13</v>
      </c>
      <c r="O56" s="20">
        <v>19464.42</v>
      </c>
      <c r="P56" s="20">
        <v>18885.5</v>
      </c>
      <c r="Q56" s="20">
        <f t="shared" si="0"/>
        <v>221863.19</v>
      </c>
    </row>
    <row r="57" spans="1:17" ht="12.75">
      <c r="A57" s="73">
        <f t="shared" si="1"/>
        <v>50</v>
      </c>
      <c r="B57" s="9" t="s">
        <v>120</v>
      </c>
      <c r="C57" s="9">
        <v>11335</v>
      </c>
      <c r="D57" s="17" t="s">
        <v>585</v>
      </c>
      <c r="E57" s="20">
        <v>1000.24</v>
      </c>
      <c r="F57" s="20">
        <v>818.73</v>
      </c>
      <c r="G57" s="20">
        <v>585.22</v>
      </c>
      <c r="H57" s="20">
        <v>474.04</v>
      </c>
      <c r="I57" s="20">
        <v>422.11</v>
      </c>
      <c r="J57" s="20">
        <v>452.73</v>
      </c>
      <c r="K57" s="22">
        <v>466.63</v>
      </c>
      <c r="L57" s="20">
        <v>531.36</v>
      </c>
      <c r="M57" s="20">
        <v>599.06</v>
      </c>
      <c r="N57" s="20">
        <v>676.33</v>
      </c>
      <c r="O57" s="20">
        <v>755.79</v>
      </c>
      <c r="P57" s="20">
        <v>669.66</v>
      </c>
      <c r="Q57" s="20">
        <f t="shared" si="0"/>
        <v>7451.899999999999</v>
      </c>
    </row>
    <row r="58" spans="1:17" ht="12.75">
      <c r="A58" s="73">
        <f t="shared" si="1"/>
        <v>51</v>
      </c>
      <c r="B58" s="9" t="s">
        <v>121</v>
      </c>
      <c r="C58" s="9">
        <v>11136</v>
      </c>
      <c r="D58" s="17" t="s">
        <v>585</v>
      </c>
      <c r="E58" s="20">
        <v>2745.42</v>
      </c>
      <c r="F58" s="20">
        <v>2091.13</v>
      </c>
      <c r="G58" s="20">
        <v>1689.33</v>
      </c>
      <c r="H58" s="20">
        <v>1557.05</v>
      </c>
      <c r="I58" s="20">
        <v>1272.1</v>
      </c>
      <c r="J58" s="20">
        <v>1319.77</v>
      </c>
      <c r="K58" s="22">
        <v>1161.77</v>
      </c>
      <c r="L58" s="20">
        <v>1328.92</v>
      </c>
      <c r="M58" s="20">
        <v>1624.55</v>
      </c>
      <c r="N58" s="20">
        <v>1829.82</v>
      </c>
      <c r="O58" s="20">
        <v>2169.26</v>
      </c>
      <c r="P58" s="20">
        <v>2098.21</v>
      </c>
      <c r="Q58" s="20">
        <f t="shared" si="0"/>
        <v>20887.33</v>
      </c>
    </row>
    <row r="59" spans="1:17" ht="12.75">
      <c r="A59" s="73">
        <f t="shared" si="1"/>
        <v>52</v>
      </c>
      <c r="B59" s="9" t="s">
        <v>122</v>
      </c>
      <c r="C59" s="9">
        <v>11467</v>
      </c>
      <c r="D59" s="17" t="s">
        <v>585</v>
      </c>
      <c r="E59" s="20">
        <v>33.46</v>
      </c>
      <c r="F59" s="20">
        <v>14.35</v>
      </c>
      <c r="G59" s="20">
        <v>32.89</v>
      </c>
      <c r="H59" s="20">
        <v>40.35</v>
      </c>
      <c r="I59" s="20">
        <v>79.92</v>
      </c>
      <c r="J59" s="20">
        <v>88.8</v>
      </c>
      <c r="K59" s="22">
        <v>77.47</v>
      </c>
      <c r="L59" s="20">
        <v>81.02</v>
      </c>
      <c r="M59" s="20">
        <v>81.02</v>
      </c>
      <c r="N59" s="20">
        <v>127.95</v>
      </c>
      <c r="O59" s="20">
        <v>145.02</v>
      </c>
      <c r="P59" s="20">
        <v>105.87</v>
      </c>
      <c r="Q59" s="20">
        <f t="shared" si="0"/>
        <v>908.12</v>
      </c>
    </row>
    <row r="60" spans="1:17" ht="12.75">
      <c r="A60" s="73">
        <f t="shared" si="1"/>
        <v>53</v>
      </c>
      <c r="B60" s="9" t="s">
        <v>123</v>
      </c>
      <c r="C60" s="9">
        <v>11138</v>
      </c>
      <c r="D60" s="17" t="s">
        <v>585</v>
      </c>
      <c r="E60" s="20">
        <v>42.34</v>
      </c>
      <c r="F60" s="20">
        <v>72.32</v>
      </c>
      <c r="G60" s="20">
        <v>91.43</v>
      </c>
      <c r="H60" s="20">
        <v>105.14</v>
      </c>
      <c r="I60" s="20">
        <v>116.72</v>
      </c>
      <c r="J60" s="20">
        <v>131</v>
      </c>
      <c r="K60" s="22">
        <v>123.62</v>
      </c>
      <c r="L60" s="20">
        <v>96.58</v>
      </c>
      <c r="M60" s="20">
        <v>139.96</v>
      </c>
      <c r="N60" s="20">
        <v>193.21</v>
      </c>
      <c r="O60" s="20">
        <v>74.65</v>
      </c>
      <c r="P60" s="20">
        <v>103.05</v>
      </c>
      <c r="Q60" s="20">
        <f t="shared" si="0"/>
        <v>1290.0200000000002</v>
      </c>
    </row>
    <row r="61" spans="1:17" ht="12.75">
      <c r="A61" s="73">
        <f t="shared" si="1"/>
        <v>54</v>
      </c>
      <c r="B61" s="9" t="s">
        <v>124</v>
      </c>
      <c r="C61" s="9">
        <v>11469</v>
      </c>
      <c r="D61" s="17">
        <v>2</v>
      </c>
      <c r="E61" s="20">
        <v>135.6</v>
      </c>
      <c r="F61" s="20">
        <v>108.48</v>
      </c>
      <c r="G61" s="20">
        <v>94.92</v>
      </c>
      <c r="H61" s="20">
        <v>67.8</v>
      </c>
      <c r="I61" s="22">
        <v>40.68</v>
      </c>
      <c r="J61" s="20">
        <v>27.12</v>
      </c>
      <c r="K61" s="22">
        <f>ROUND(0.04*143.25,0)*3.53*2</f>
        <v>42.36</v>
      </c>
      <c r="L61" s="22">
        <f>ROUND(0.04*235.08,0)*3.53*2</f>
        <v>63.54</v>
      </c>
      <c r="M61" s="22">
        <f>ROUND(0.04*314.17,0)*3.53*2</f>
        <v>91.78</v>
      </c>
      <c r="N61" s="22">
        <f>ROUND(0.04*430.83,0)*3.53*2</f>
        <v>120.02</v>
      </c>
      <c r="O61" s="22">
        <f>ROUND(0.04*492.08,0)*3.53*2</f>
        <v>141.2</v>
      </c>
      <c r="P61" s="22">
        <f>ROUND(0.04*548.5,0)*3.53*2</f>
        <v>155.32</v>
      </c>
      <c r="Q61" s="20">
        <f t="shared" si="0"/>
        <v>1088.82</v>
      </c>
    </row>
    <row r="62" spans="1:17" ht="12.75">
      <c r="A62" s="73">
        <f t="shared" si="1"/>
        <v>55</v>
      </c>
      <c r="B62" s="9" t="s">
        <v>125</v>
      </c>
      <c r="C62" s="9">
        <v>11140</v>
      </c>
      <c r="D62" s="17" t="s">
        <v>585</v>
      </c>
      <c r="E62" s="20">
        <v>467.82</v>
      </c>
      <c r="F62" s="20">
        <v>467.82</v>
      </c>
      <c r="G62" s="20">
        <v>467.82</v>
      </c>
      <c r="H62" s="20">
        <v>467.82</v>
      </c>
      <c r="I62" s="20">
        <v>467.82</v>
      </c>
      <c r="J62" s="20">
        <v>467.82</v>
      </c>
      <c r="K62" s="22">
        <v>487.14</v>
      </c>
      <c r="L62" s="20">
        <v>487.14</v>
      </c>
      <c r="M62" s="20">
        <v>487.14</v>
      </c>
      <c r="N62" s="20">
        <v>0</v>
      </c>
      <c r="O62" s="20">
        <v>0</v>
      </c>
      <c r="P62" s="20">
        <v>0</v>
      </c>
      <c r="Q62" s="20">
        <f t="shared" si="0"/>
        <v>4268.34</v>
      </c>
    </row>
    <row r="63" spans="1:17" ht="12.75">
      <c r="A63" s="73">
        <f t="shared" si="1"/>
        <v>56</v>
      </c>
      <c r="B63" s="9" t="s">
        <v>126</v>
      </c>
      <c r="C63" s="9">
        <v>11102</v>
      </c>
      <c r="D63" s="17" t="s">
        <v>585</v>
      </c>
      <c r="E63" s="20">
        <v>942.92</v>
      </c>
      <c r="F63" s="20">
        <v>1573.81</v>
      </c>
      <c r="G63" s="20">
        <v>943.33</v>
      </c>
      <c r="H63" s="20">
        <v>808.85</v>
      </c>
      <c r="I63" s="20">
        <v>677.07</v>
      </c>
      <c r="J63" s="20">
        <v>794.28</v>
      </c>
      <c r="K63" s="22">
        <v>572.85</v>
      </c>
      <c r="L63" s="20">
        <v>425.29</v>
      </c>
      <c r="M63" s="20">
        <v>749.57</v>
      </c>
      <c r="N63" s="20">
        <v>640.5</v>
      </c>
      <c r="O63" s="20">
        <v>1336.28</v>
      </c>
      <c r="P63" s="20">
        <v>1055.5</v>
      </c>
      <c r="Q63" s="20">
        <f t="shared" si="0"/>
        <v>10520.25</v>
      </c>
    </row>
    <row r="64" spans="1:17" ht="12.75">
      <c r="A64" s="73">
        <f t="shared" si="1"/>
        <v>57</v>
      </c>
      <c r="B64" s="9" t="s">
        <v>127</v>
      </c>
      <c r="C64" s="9">
        <v>11142</v>
      </c>
      <c r="D64" s="17" t="s">
        <v>585</v>
      </c>
      <c r="E64" s="20">
        <v>459.56</v>
      </c>
      <c r="F64" s="20">
        <v>211.77</v>
      </c>
      <c r="G64" s="20">
        <v>185.13</v>
      </c>
      <c r="H64" s="20">
        <v>198.77</v>
      </c>
      <c r="I64" s="20">
        <v>265.05</v>
      </c>
      <c r="J64" s="20">
        <v>245.23</v>
      </c>
      <c r="K64" s="22">
        <v>233.82</v>
      </c>
      <c r="L64" s="20">
        <v>201.87</v>
      </c>
      <c r="M64" s="20">
        <v>240.24</v>
      </c>
      <c r="N64" s="20">
        <v>277.2</v>
      </c>
      <c r="O64" s="20">
        <v>298.55</v>
      </c>
      <c r="P64" s="20">
        <v>248.75</v>
      </c>
      <c r="Q64" s="20">
        <f t="shared" si="0"/>
        <v>3065.9399999999996</v>
      </c>
    </row>
    <row r="65" spans="1:17" ht="12.75">
      <c r="A65" s="73">
        <f t="shared" si="1"/>
        <v>58</v>
      </c>
      <c r="B65" s="9" t="s">
        <v>128</v>
      </c>
      <c r="C65" s="9">
        <v>11473</v>
      </c>
      <c r="D65" s="17" t="s">
        <v>584</v>
      </c>
      <c r="E65" s="21"/>
      <c r="F65" s="20"/>
      <c r="G65" s="20"/>
      <c r="H65" s="20"/>
      <c r="I65" s="20"/>
      <c r="J65" s="20"/>
      <c r="K65" s="22"/>
      <c r="L65" s="20"/>
      <c r="M65" s="20"/>
      <c r="N65" s="20"/>
      <c r="O65" s="20"/>
      <c r="P65" s="20"/>
      <c r="Q65" s="20">
        <f t="shared" si="0"/>
        <v>0</v>
      </c>
    </row>
    <row r="66" spans="1:17" ht="12.75">
      <c r="A66" s="73">
        <f t="shared" si="1"/>
        <v>59</v>
      </c>
      <c r="B66" s="9" t="s">
        <v>129</v>
      </c>
      <c r="C66" s="9">
        <v>11475</v>
      </c>
      <c r="D66" s="17" t="s">
        <v>585</v>
      </c>
      <c r="E66" s="20">
        <v>99.81</v>
      </c>
      <c r="F66" s="20">
        <v>143.57</v>
      </c>
      <c r="G66" s="20">
        <v>79.35</v>
      </c>
      <c r="H66" s="20">
        <v>52.71</v>
      </c>
      <c r="I66" s="20">
        <v>22.59</v>
      </c>
      <c r="J66" s="20">
        <v>73.1</v>
      </c>
      <c r="K66" s="22">
        <v>13.52</v>
      </c>
      <c r="L66" s="20">
        <v>11.38</v>
      </c>
      <c r="M66" s="20">
        <v>11.38</v>
      </c>
      <c r="N66" s="20">
        <v>11.38</v>
      </c>
      <c r="O66" s="20">
        <v>209.02</v>
      </c>
      <c r="P66" s="20">
        <v>54.76</v>
      </c>
      <c r="Q66" s="20">
        <f t="shared" si="0"/>
        <v>782.5699999999999</v>
      </c>
    </row>
    <row r="67" spans="1:17" ht="12.75">
      <c r="A67" s="73">
        <f t="shared" si="1"/>
        <v>60</v>
      </c>
      <c r="B67" s="9" t="s">
        <v>130</v>
      </c>
      <c r="C67" s="9">
        <v>11146</v>
      </c>
      <c r="D67" s="17" t="s">
        <v>585</v>
      </c>
      <c r="E67" s="20">
        <v>259.51</v>
      </c>
      <c r="F67" s="20">
        <v>278.62</v>
      </c>
      <c r="G67" s="20">
        <v>200.12</v>
      </c>
      <c r="H67" s="20">
        <v>189.18</v>
      </c>
      <c r="I67" s="20">
        <v>139.31</v>
      </c>
      <c r="J67" s="20">
        <v>114.02</v>
      </c>
      <c r="K67" s="22">
        <v>145.7</v>
      </c>
      <c r="L67" s="20">
        <v>162.04</v>
      </c>
      <c r="M67" s="20">
        <v>369.7</v>
      </c>
      <c r="N67" s="20">
        <v>299.86</v>
      </c>
      <c r="O67" s="20">
        <v>389.49</v>
      </c>
      <c r="P67" s="20">
        <v>398.73</v>
      </c>
      <c r="Q67" s="20">
        <f t="shared" si="0"/>
        <v>2946.28</v>
      </c>
    </row>
    <row r="68" spans="1:17" ht="12.75">
      <c r="A68" s="73">
        <f t="shared" si="1"/>
        <v>61</v>
      </c>
      <c r="B68" s="9" t="s">
        <v>131</v>
      </c>
      <c r="C68" s="9">
        <v>11148</v>
      </c>
      <c r="D68" s="17" t="s">
        <v>585</v>
      </c>
      <c r="E68" s="20">
        <v>479.52</v>
      </c>
      <c r="F68" s="20">
        <v>641.49</v>
      </c>
      <c r="G68" s="20">
        <v>489.89</v>
      </c>
      <c r="H68" s="20">
        <v>400.45</v>
      </c>
      <c r="I68" s="20">
        <v>363.51</v>
      </c>
      <c r="J68" s="20">
        <v>370.4</v>
      </c>
      <c r="K68" s="22">
        <v>367.56</v>
      </c>
      <c r="L68" s="20">
        <v>439.49</v>
      </c>
      <c r="M68" s="20">
        <v>796.98</v>
      </c>
      <c r="N68" s="20">
        <v>865.06</v>
      </c>
      <c r="O68" s="20">
        <v>747.76</v>
      </c>
      <c r="P68" s="20">
        <v>804.61</v>
      </c>
      <c r="Q68" s="20">
        <f t="shared" si="0"/>
        <v>6766.72</v>
      </c>
    </row>
    <row r="69" spans="1:17" ht="12.75">
      <c r="A69" s="73">
        <f t="shared" si="1"/>
        <v>62</v>
      </c>
      <c r="B69" s="9" t="s">
        <v>132</v>
      </c>
      <c r="C69" s="9">
        <v>11109</v>
      </c>
      <c r="D69" s="17" t="s">
        <v>585</v>
      </c>
      <c r="E69" s="20">
        <v>1504.9</v>
      </c>
      <c r="F69" s="20">
        <v>1497.86</v>
      </c>
      <c r="G69" s="20">
        <v>1059.47</v>
      </c>
      <c r="H69" s="20">
        <v>743.2</v>
      </c>
      <c r="I69" s="20">
        <v>897.72</v>
      </c>
      <c r="J69" s="20">
        <v>253.38</v>
      </c>
      <c r="K69" s="22">
        <v>246.53</v>
      </c>
      <c r="L69" s="20">
        <v>545.33</v>
      </c>
      <c r="M69" s="20">
        <v>983.61</v>
      </c>
      <c r="N69" s="20">
        <v>1152.45</v>
      </c>
      <c r="O69" s="20">
        <v>1122.09</v>
      </c>
      <c r="P69" s="20">
        <v>1497.28</v>
      </c>
      <c r="Q69" s="20">
        <f t="shared" si="0"/>
        <v>11503.820000000002</v>
      </c>
    </row>
    <row r="70" spans="1:17" ht="12.75">
      <c r="A70" s="73">
        <f t="shared" si="1"/>
        <v>63</v>
      </c>
      <c r="B70" s="9" t="s">
        <v>133</v>
      </c>
      <c r="C70" s="9">
        <v>11149</v>
      </c>
      <c r="D70" s="17" t="s">
        <v>585</v>
      </c>
      <c r="E70" s="20">
        <v>1640.1</v>
      </c>
      <c r="F70" s="20">
        <v>1297.82</v>
      </c>
      <c r="G70" s="20">
        <v>923.01</v>
      </c>
      <c r="H70" s="20">
        <v>740.93</v>
      </c>
      <c r="I70" s="20">
        <v>641.05</v>
      </c>
      <c r="J70" s="20">
        <v>684.17</v>
      </c>
      <c r="K70" s="22">
        <v>479.62</v>
      </c>
      <c r="L70" s="20">
        <v>688.06</v>
      </c>
      <c r="M70" s="20">
        <v>986.81</v>
      </c>
      <c r="N70" s="20">
        <v>883.31</v>
      </c>
      <c r="O70" s="20">
        <v>762.94</v>
      </c>
      <c r="P70" s="20">
        <v>1043.74</v>
      </c>
      <c r="Q70" s="20">
        <f t="shared" si="0"/>
        <v>10771.56</v>
      </c>
    </row>
    <row r="71" spans="1:17" ht="12.75">
      <c r="A71" s="73">
        <f t="shared" si="1"/>
        <v>64</v>
      </c>
      <c r="B71" s="9" t="s">
        <v>134</v>
      </c>
      <c r="C71" s="9">
        <v>11152</v>
      </c>
      <c r="D71" s="17" t="s">
        <v>585</v>
      </c>
      <c r="E71" s="20">
        <v>1229.63</v>
      </c>
      <c r="F71" s="20">
        <v>1155.39</v>
      </c>
      <c r="G71" s="20">
        <v>1609.5</v>
      </c>
      <c r="H71" s="20">
        <v>589.93</v>
      </c>
      <c r="I71" s="20">
        <v>487.63</v>
      </c>
      <c r="J71" s="20">
        <v>737.61</v>
      </c>
      <c r="K71" s="22">
        <v>669.81</v>
      </c>
      <c r="L71" s="20">
        <v>779.43</v>
      </c>
      <c r="M71" s="20">
        <v>988.98</v>
      </c>
      <c r="N71" s="20">
        <v>958.34</v>
      </c>
      <c r="O71" s="20">
        <v>1042.66</v>
      </c>
      <c r="P71" s="20">
        <v>1079.19</v>
      </c>
      <c r="Q71" s="20">
        <f t="shared" si="0"/>
        <v>11328.1</v>
      </c>
    </row>
    <row r="72" spans="1:17" ht="12.75">
      <c r="A72" s="73">
        <f t="shared" si="1"/>
        <v>65</v>
      </c>
      <c r="B72" s="9" t="s">
        <v>135</v>
      </c>
      <c r="C72" s="9">
        <v>11154</v>
      </c>
      <c r="D72" s="17" t="s">
        <v>585</v>
      </c>
      <c r="E72" s="20">
        <v>1484.56</v>
      </c>
      <c r="F72" s="20">
        <v>1674.95</v>
      </c>
      <c r="G72" s="20">
        <v>1458.14</v>
      </c>
      <c r="H72" s="20">
        <v>3126.4</v>
      </c>
      <c r="I72" s="20">
        <v>2926.3</v>
      </c>
      <c r="J72" s="20">
        <v>3479.65</v>
      </c>
      <c r="K72" s="22">
        <v>267.68</v>
      </c>
      <c r="L72" s="20">
        <v>777.21</v>
      </c>
      <c r="M72" s="20">
        <v>1137.44</v>
      </c>
      <c r="N72" s="20">
        <v>1447.55</v>
      </c>
      <c r="O72" s="20">
        <v>1945.48</v>
      </c>
      <c r="P72" s="20">
        <v>1899.66</v>
      </c>
      <c r="Q72" s="20">
        <f t="shared" si="0"/>
        <v>21625.020000000004</v>
      </c>
    </row>
    <row r="73" spans="1:17" ht="12.75">
      <c r="A73" s="73">
        <f t="shared" si="1"/>
        <v>66</v>
      </c>
      <c r="B73" s="9" t="s">
        <v>136</v>
      </c>
      <c r="C73" s="9">
        <v>11157</v>
      </c>
      <c r="D73" s="17" t="s">
        <v>585</v>
      </c>
      <c r="E73" s="20">
        <v>1046.8</v>
      </c>
      <c r="F73" s="20">
        <v>611.09</v>
      </c>
      <c r="G73" s="20">
        <v>618.81</v>
      </c>
      <c r="H73" s="20">
        <v>438.09</v>
      </c>
      <c r="I73" s="20">
        <v>496.4</v>
      </c>
      <c r="J73" s="20">
        <v>297.82</v>
      </c>
      <c r="K73" s="22">
        <v>239.4</v>
      </c>
      <c r="L73" s="20">
        <v>293.28</v>
      </c>
      <c r="M73" s="20">
        <v>381.48</v>
      </c>
      <c r="N73" s="20">
        <v>246.78</v>
      </c>
      <c r="O73" s="20">
        <v>421.62</v>
      </c>
      <c r="P73" s="20">
        <v>208.92</v>
      </c>
      <c r="Q73" s="20">
        <f aca="true" t="shared" si="2" ref="Q73:Q136">E73+F73+G73+H73+I73+J73+K73+L73+M73+N73+O73+P73</f>
        <v>5300.49</v>
      </c>
    </row>
    <row r="74" spans="1:17" ht="12.75">
      <c r="A74" s="73">
        <f aca="true" t="shared" si="3" ref="A74:A137">A73+1</f>
        <v>67</v>
      </c>
      <c r="B74" s="9" t="s">
        <v>137</v>
      </c>
      <c r="C74" s="9">
        <v>11107</v>
      </c>
      <c r="D74" s="17" t="s">
        <v>589</v>
      </c>
      <c r="E74" s="20">
        <v>813.6</v>
      </c>
      <c r="F74" s="20">
        <v>650.88</v>
      </c>
      <c r="G74" s="20">
        <v>569.52</v>
      </c>
      <c r="H74" s="20">
        <v>406.8</v>
      </c>
      <c r="I74" s="20">
        <v>244.08</v>
      </c>
      <c r="J74" s="20">
        <v>162.72</v>
      </c>
      <c r="K74" s="22">
        <v>0</v>
      </c>
      <c r="L74" s="20"/>
      <c r="M74" s="20"/>
      <c r="N74" s="43"/>
      <c r="O74" s="43"/>
      <c r="P74" s="43"/>
      <c r="Q74" s="20">
        <f t="shared" si="2"/>
        <v>2847.6</v>
      </c>
    </row>
    <row r="75" spans="1:17" ht="12.75">
      <c r="A75" s="73">
        <f t="shared" si="3"/>
        <v>68</v>
      </c>
      <c r="B75" s="9" t="s">
        <v>138</v>
      </c>
      <c r="C75" s="9">
        <v>11160</v>
      </c>
      <c r="D75" s="17" t="s">
        <v>585</v>
      </c>
      <c r="E75" s="20">
        <v>2742.48</v>
      </c>
      <c r="F75" s="20">
        <v>2116.21</v>
      </c>
      <c r="G75" s="20">
        <v>1074.46</v>
      </c>
      <c r="H75" s="20">
        <v>1076.38</v>
      </c>
      <c r="I75" s="20">
        <v>954.83</v>
      </c>
      <c r="J75" s="20">
        <v>994.25</v>
      </c>
      <c r="K75" s="22">
        <v>879.56</v>
      </c>
      <c r="L75" s="20">
        <v>1098.82</v>
      </c>
      <c r="M75" s="20">
        <v>2177.05</v>
      </c>
      <c r="N75" s="22">
        <v>2375.15</v>
      </c>
      <c r="O75" s="22">
        <v>2103.49</v>
      </c>
      <c r="P75" s="22">
        <v>1872.04</v>
      </c>
      <c r="Q75" s="20">
        <f t="shared" si="2"/>
        <v>19464.72</v>
      </c>
    </row>
    <row r="76" spans="1:17" ht="12.75">
      <c r="A76" s="73">
        <f t="shared" si="3"/>
        <v>69</v>
      </c>
      <c r="B76" s="9" t="s">
        <v>139</v>
      </c>
      <c r="C76" s="9">
        <v>11108</v>
      </c>
      <c r="D76" s="17" t="s">
        <v>585</v>
      </c>
      <c r="E76" s="20">
        <v>3417.76</v>
      </c>
      <c r="F76" s="20">
        <v>1755.69</v>
      </c>
      <c r="G76" s="20">
        <v>1071.99</v>
      </c>
      <c r="H76" s="20">
        <v>673.52</v>
      </c>
      <c r="I76" s="20">
        <v>526.04</v>
      </c>
      <c r="J76" s="20">
        <v>534</v>
      </c>
      <c r="K76" s="22">
        <v>347.72</v>
      </c>
      <c r="L76" s="20">
        <v>412.5</v>
      </c>
      <c r="M76" s="20">
        <v>880.62</v>
      </c>
      <c r="N76" s="20">
        <v>1691.83</v>
      </c>
      <c r="O76" s="20">
        <v>1716.78</v>
      </c>
      <c r="P76" s="20">
        <v>969.72</v>
      </c>
      <c r="Q76" s="20">
        <f t="shared" si="2"/>
        <v>13998.170000000002</v>
      </c>
    </row>
    <row r="77" spans="1:17" ht="12.75">
      <c r="A77" s="73">
        <f t="shared" si="3"/>
        <v>70</v>
      </c>
      <c r="B77" s="9" t="s">
        <v>140</v>
      </c>
      <c r="C77" s="9">
        <v>11309</v>
      </c>
      <c r="D77" s="17" t="s">
        <v>585</v>
      </c>
      <c r="E77" s="20">
        <v>2165.08</v>
      </c>
      <c r="F77" s="20">
        <v>2080.6</v>
      </c>
      <c r="G77" s="20">
        <v>1315.36</v>
      </c>
      <c r="H77" s="20">
        <v>1118.65</v>
      </c>
      <c r="I77" s="20">
        <v>876.55</v>
      </c>
      <c r="J77" s="20">
        <v>832.44</v>
      </c>
      <c r="K77" s="22">
        <v>691.11</v>
      </c>
      <c r="L77" s="20">
        <v>940.01</v>
      </c>
      <c r="M77" s="20">
        <v>1379.02</v>
      </c>
      <c r="N77" s="20">
        <v>1656.85</v>
      </c>
      <c r="O77" s="20">
        <v>1818.01</v>
      </c>
      <c r="P77" s="20">
        <v>1726.82</v>
      </c>
      <c r="Q77" s="20">
        <f t="shared" si="2"/>
        <v>16600.500000000004</v>
      </c>
    </row>
    <row r="78" spans="1:17" ht="12.75">
      <c r="A78" s="73">
        <f t="shared" si="3"/>
        <v>71</v>
      </c>
      <c r="B78" s="9" t="s">
        <v>141</v>
      </c>
      <c r="C78" s="9">
        <v>12401</v>
      </c>
      <c r="D78" s="31" t="s">
        <v>588</v>
      </c>
      <c r="E78" s="20">
        <v>4016.81</v>
      </c>
      <c r="F78" s="20">
        <v>2924.58</v>
      </c>
      <c r="G78" s="20">
        <v>3147.57</v>
      </c>
      <c r="H78" s="20">
        <v>3336.39</v>
      </c>
      <c r="I78" s="20">
        <v>3207.17</v>
      </c>
      <c r="J78" s="20">
        <v>2657.89</v>
      </c>
      <c r="K78" s="22">
        <v>2523.15</v>
      </c>
      <c r="L78" s="20">
        <v>3123.7</v>
      </c>
      <c r="M78" s="20">
        <v>3334.86</v>
      </c>
      <c r="N78" s="20">
        <v>3956.96</v>
      </c>
      <c r="O78" s="20">
        <v>5115.89</v>
      </c>
      <c r="P78" s="20">
        <v>4910.5</v>
      </c>
      <c r="Q78" s="20">
        <f t="shared" si="2"/>
        <v>42255.47</v>
      </c>
    </row>
    <row r="79" spans="1:231" s="44" customFormat="1" ht="12.75">
      <c r="A79" s="73">
        <f t="shared" si="3"/>
        <v>72</v>
      </c>
      <c r="B79" s="9" t="s">
        <v>142</v>
      </c>
      <c r="C79" s="9">
        <v>12405</v>
      </c>
      <c r="D79" s="17" t="s">
        <v>585</v>
      </c>
      <c r="E79" s="20">
        <v>3706.42</v>
      </c>
      <c r="F79" s="20">
        <v>2499.52</v>
      </c>
      <c r="G79" s="20">
        <v>1878.84</v>
      </c>
      <c r="H79" s="20">
        <v>801.95</v>
      </c>
      <c r="I79" s="20">
        <v>1653.22</v>
      </c>
      <c r="J79" s="20">
        <v>469.28</v>
      </c>
      <c r="K79" s="22">
        <v>1589.45</v>
      </c>
      <c r="L79" s="20">
        <v>1694.21</v>
      </c>
      <c r="M79" s="20">
        <v>1731.95</v>
      </c>
      <c r="N79" s="20">
        <v>1984.88</v>
      </c>
      <c r="O79" s="20">
        <v>2576.72</v>
      </c>
      <c r="P79" s="20">
        <v>2797.75</v>
      </c>
      <c r="Q79" s="20">
        <f t="shared" si="2"/>
        <v>23384.190000000006</v>
      </c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</row>
    <row r="80" spans="1:17" ht="12.75">
      <c r="A80" s="73">
        <f t="shared" si="3"/>
        <v>73</v>
      </c>
      <c r="B80" s="9" t="s">
        <v>143</v>
      </c>
      <c r="C80" s="9">
        <v>12402</v>
      </c>
      <c r="D80" s="17" t="s">
        <v>585</v>
      </c>
      <c r="E80" s="20">
        <v>2306.96</v>
      </c>
      <c r="F80" s="20">
        <v>2919.52</v>
      </c>
      <c r="G80" s="20">
        <v>2223.96</v>
      </c>
      <c r="H80" s="20">
        <v>1789.26</v>
      </c>
      <c r="I80" s="20">
        <v>1436.55</v>
      </c>
      <c r="J80" s="20">
        <v>0</v>
      </c>
      <c r="K80" s="22">
        <v>2591.12</v>
      </c>
      <c r="L80" s="20">
        <v>1410.14</v>
      </c>
      <c r="M80" s="20">
        <v>1946.01</v>
      </c>
      <c r="N80" s="20">
        <v>2272.46</v>
      </c>
      <c r="O80" s="20">
        <v>82742.24</v>
      </c>
      <c r="P80" s="20">
        <v>2814.65</v>
      </c>
      <c r="Q80" s="20">
        <f t="shared" si="2"/>
        <v>104452.87</v>
      </c>
    </row>
    <row r="81" spans="1:17" ht="12.75">
      <c r="A81" s="73">
        <f t="shared" si="3"/>
        <v>74</v>
      </c>
      <c r="B81" s="9" t="s">
        <v>144</v>
      </c>
      <c r="C81" s="9">
        <v>12403</v>
      </c>
      <c r="D81" s="17" t="s">
        <v>590</v>
      </c>
      <c r="E81" s="20">
        <v>474.6</v>
      </c>
      <c r="F81" s="20">
        <v>379.68</v>
      </c>
      <c r="G81" s="20">
        <v>332.22</v>
      </c>
      <c r="H81" s="20">
        <v>237.3</v>
      </c>
      <c r="I81" s="20">
        <v>142.38</v>
      </c>
      <c r="J81" s="20">
        <v>94.92</v>
      </c>
      <c r="K81" s="22">
        <v>0</v>
      </c>
      <c r="L81" s="20"/>
      <c r="M81" s="20"/>
      <c r="N81" s="20">
        <v>0</v>
      </c>
      <c r="O81" s="20">
        <v>0</v>
      </c>
      <c r="P81" s="20">
        <v>0</v>
      </c>
      <c r="Q81" s="20">
        <f t="shared" si="2"/>
        <v>1661.1</v>
      </c>
    </row>
    <row r="82" spans="1:17" ht="12.75">
      <c r="A82" s="73">
        <f t="shared" si="3"/>
        <v>75</v>
      </c>
      <c r="B82" s="9" t="s">
        <v>145</v>
      </c>
      <c r="C82" s="9">
        <v>12404</v>
      </c>
      <c r="D82" s="17" t="s">
        <v>585</v>
      </c>
      <c r="E82" s="20">
        <v>2525.45</v>
      </c>
      <c r="F82" s="20">
        <v>1759.85</v>
      </c>
      <c r="G82" s="20">
        <v>1257.88</v>
      </c>
      <c r="H82" s="20">
        <v>1307.95</v>
      </c>
      <c r="I82" s="20">
        <v>1453.32</v>
      </c>
      <c r="J82" s="20">
        <v>2337.14</v>
      </c>
      <c r="K82" s="22">
        <v>1871.54</v>
      </c>
      <c r="L82" s="20">
        <v>2582.92</v>
      </c>
      <c r="M82" s="20">
        <v>1435.72</v>
      </c>
      <c r="N82" s="20">
        <v>1812.04</v>
      </c>
      <c r="O82" s="20">
        <v>1771.38</v>
      </c>
      <c r="P82" s="20">
        <v>1926.17</v>
      </c>
      <c r="Q82" s="20">
        <f t="shared" si="2"/>
        <v>22041.36</v>
      </c>
    </row>
    <row r="83" spans="1:17" ht="12.75">
      <c r="A83" s="73">
        <f t="shared" si="3"/>
        <v>76</v>
      </c>
      <c r="B83" s="9" t="s">
        <v>146</v>
      </c>
      <c r="C83" s="9">
        <v>21308</v>
      </c>
      <c r="D83" s="17">
        <v>2</v>
      </c>
      <c r="E83" s="20">
        <v>135.6</v>
      </c>
      <c r="F83" s="20">
        <v>108.48</v>
      </c>
      <c r="G83" s="20">
        <v>94.92</v>
      </c>
      <c r="H83" s="20">
        <v>67.8</v>
      </c>
      <c r="I83" s="22">
        <v>40.68</v>
      </c>
      <c r="J83" s="20">
        <v>27.12</v>
      </c>
      <c r="K83" s="22">
        <f>ROUND(0.04*143.25,0)*3.53*2</f>
        <v>42.36</v>
      </c>
      <c r="L83" s="22">
        <f>ROUND(0.04*235.08,0)*3.53*2</f>
        <v>63.54</v>
      </c>
      <c r="M83" s="22">
        <f>ROUND(0.04*314.17,0)*3.53*2</f>
        <v>91.78</v>
      </c>
      <c r="N83" s="22">
        <f>ROUND(0.04*430.83,0)*3.53*2</f>
        <v>120.02</v>
      </c>
      <c r="O83" s="22">
        <f>ROUND(0.04*492.08,0)*3.53*2</f>
        <v>141.2</v>
      </c>
      <c r="P83" s="22">
        <f>ROUND(0.04*548.5,0)*3.53*2</f>
        <v>155.32</v>
      </c>
      <c r="Q83" s="20">
        <f t="shared" si="2"/>
        <v>1088.82</v>
      </c>
    </row>
    <row r="84" spans="1:17" ht="12.75">
      <c r="A84" s="73">
        <f t="shared" si="3"/>
        <v>77</v>
      </c>
      <c r="B84" s="10" t="s">
        <v>147</v>
      </c>
      <c r="C84" s="10">
        <v>21309</v>
      </c>
      <c r="D84" s="45">
        <v>2</v>
      </c>
      <c r="E84" s="43">
        <v>135.6</v>
      </c>
      <c r="F84" s="43">
        <v>108.48</v>
      </c>
      <c r="G84" s="43">
        <v>94.92</v>
      </c>
      <c r="H84" s="43">
        <v>67.8</v>
      </c>
      <c r="I84" s="43">
        <v>40.68</v>
      </c>
      <c r="J84" s="43">
        <v>27.12</v>
      </c>
      <c r="K84" s="43">
        <f>ROUND(0.04*143.25,0)*3.53*2</f>
        <v>42.36</v>
      </c>
      <c r="L84" s="43">
        <f>ROUND(0.04*235.08,0)*3.53*2</f>
        <v>63.54</v>
      </c>
      <c r="M84" s="43">
        <f>ROUND(0.04*314.17,0)*3.53*2</f>
        <v>91.78</v>
      </c>
      <c r="N84" s="43">
        <f>ROUND(0.04*430.83,0)*3.53*2</f>
        <v>120.02</v>
      </c>
      <c r="O84" s="43">
        <f>ROUND(0.04*492.08,0)*3.53*2</f>
        <v>141.2</v>
      </c>
      <c r="P84" s="43">
        <f>ROUND(0.04*548.5,0)*3.53*2</f>
        <v>155.32</v>
      </c>
      <c r="Q84" s="43">
        <f t="shared" si="2"/>
        <v>1088.82</v>
      </c>
    </row>
    <row r="85" spans="1:17" ht="12.75">
      <c r="A85" s="73">
        <f t="shared" si="3"/>
        <v>78</v>
      </c>
      <c r="B85" s="9" t="s">
        <v>148</v>
      </c>
      <c r="C85" s="9">
        <v>22155</v>
      </c>
      <c r="D85" s="17">
        <v>3</v>
      </c>
      <c r="E85" s="20">
        <v>203.4</v>
      </c>
      <c r="F85" s="20">
        <v>162.72</v>
      </c>
      <c r="G85" s="20">
        <v>142.38</v>
      </c>
      <c r="H85" s="20">
        <v>101.7</v>
      </c>
      <c r="I85" s="20">
        <v>61.02</v>
      </c>
      <c r="J85" s="20">
        <v>40.68</v>
      </c>
      <c r="K85" s="22">
        <f>ROUND(0.04*143.25,0)*3.53*3</f>
        <v>63.54</v>
      </c>
      <c r="L85" s="22">
        <f>ROUND(0.04*235.08,0)*3.53*3</f>
        <v>95.31</v>
      </c>
      <c r="M85" s="22">
        <f>ROUND(0.04*314.17,0)*3.53*3</f>
        <v>137.67000000000002</v>
      </c>
      <c r="N85" s="22">
        <f>ROUND(0.04*430.83,0)*3.53*3</f>
        <v>180.03</v>
      </c>
      <c r="O85" s="22">
        <f>ROUND(0.04*492.08,0)*3.53*3</f>
        <v>211.79999999999998</v>
      </c>
      <c r="P85" s="22">
        <f>ROUND(0.04*548.5,0)*3.53*3</f>
        <v>232.98</v>
      </c>
      <c r="Q85" s="20">
        <f t="shared" si="2"/>
        <v>1633.23</v>
      </c>
    </row>
    <row r="86" spans="1:17" ht="12.75">
      <c r="A86" s="73">
        <f t="shared" si="3"/>
        <v>79</v>
      </c>
      <c r="B86" s="9" t="s">
        <v>149</v>
      </c>
      <c r="C86" s="9">
        <v>22190</v>
      </c>
      <c r="D86" s="17">
        <v>3</v>
      </c>
      <c r="E86" s="20">
        <v>203.4</v>
      </c>
      <c r="F86" s="20">
        <v>162.72</v>
      </c>
      <c r="G86" s="20">
        <v>142.38</v>
      </c>
      <c r="H86" s="20">
        <v>101.7</v>
      </c>
      <c r="I86" s="20">
        <v>61.02</v>
      </c>
      <c r="J86" s="20">
        <v>40.68</v>
      </c>
      <c r="K86" s="22">
        <f>ROUND(0.04*143.25,0)*3.53*3</f>
        <v>63.54</v>
      </c>
      <c r="L86" s="22">
        <f>ROUND(0.04*235.08,0)*3.53*3</f>
        <v>95.31</v>
      </c>
      <c r="M86" s="22">
        <f>ROUND(0.04*314.17,0)*3.53*3</f>
        <v>137.67000000000002</v>
      </c>
      <c r="N86" s="22">
        <f>ROUND(0.04*430.83,0)*3.53*3</f>
        <v>180.03</v>
      </c>
      <c r="O86" s="22">
        <f>ROUND(0.04*492.08,0)*3.53*3</f>
        <v>211.79999999999998</v>
      </c>
      <c r="P86" s="22">
        <f>ROUND(0.04*548.5,0)*3.53*3</f>
        <v>232.98</v>
      </c>
      <c r="Q86" s="20">
        <f t="shared" si="2"/>
        <v>1633.23</v>
      </c>
    </row>
    <row r="87" spans="1:17" ht="12.75">
      <c r="A87" s="73">
        <f t="shared" si="3"/>
        <v>80</v>
      </c>
      <c r="B87" s="9" t="s">
        <v>150</v>
      </c>
      <c r="C87" s="9">
        <v>22191</v>
      </c>
      <c r="D87" s="17">
        <v>4</v>
      </c>
      <c r="E87" s="20">
        <v>271.2</v>
      </c>
      <c r="F87" s="20">
        <v>216.96</v>
      </c>
      <c r="G87" s="20">
        <v>189.84</v>
      </c>
      <c r="H87" s="20">
        <v>135.6</v>
      </c>
      <c r="I87" s="20">
        <v>81.36</v>
      </c>
      <c r="J87" s="20">
        <v>54.24</v>
      </c>
      <c r="K87" s="22"/>
      <c r="L87" s="22"/>
      <c r="M87" s="22"/>
      <c r="N87" s="22"/>
      <c r="O87" s="22"/>
      <c r="P87" s="22"/>
      <c r="Q87" s="20">
        <f t="shared" si="2"/>
        <v>949.2</v>
      </c>
    </row>
    <row r="88" spans="1:17" ht="12.75">
      <c r="A88" s="73">
        <f t="shared" si="3"/>
        <v>81</v>
      </c>
      <c r="B88" s="9" t="s">
        <v>151</v>
      </c>
      <c r="C88" s="9">
        <v>22192</v>
      </c>
      <c r="D88" s="17">
        <v>3</v>
      </c>
      <c r="E88" s="20">
        <v>203.4</v>
      </c>
      <c r="F88" s="20">
        <v>162.72</v>
      </c>
      <c r="G88" s="20">
        <v>142.38</v>
      </c>
      <c r="H88" s="20">
        <v>101.7</v>
      </c>
      <c r="I88" s="20">
        <v>61.02</v>
      </c>
      <c r="J88" s="20">
        <v>40.68</v>
      </c>
      <c r="K88" s="22">
        <f>ROUND(0.04*143.25,0)*3.53*3</f>
        <v>63.54</v>
      </c>
      <c r="L88" s="22">
        <f>ROUND(0.04*235.08,0)*3.53*3</f>
        <v>95.31</v>
      </c>
      <c r="M88" s="22">
        <f>ROUND(0.04*314.17,0)*3.53*3</f>
        <v>137.67000000000002</v>
      </c>
      <c r="N88" s="22">
        <f>ROUND(0.04*430.83,0)*3.53*3</f>
        <v>180.03</v>
      </c>
      <c r="O88" s="22">
        <f>ROUND(0.04*492.08,0)*3.53*3</f>
        <v>211.79999999999998</v>
      </c>
      <c r="P88" s="22">
        <f>ROUND(0.04*548.5,0)*3.53*3</f>
        <v>232.98</v>
      </c>
      <c r="Q88" s="20">
        <f t="shared" si="2"/>
        <v>1633.23</v>
      </c>
    </row>
    <row r="89" spans="1:17" ht="12.75">
      <c r="A89" s="73">
        <f t="shared" si="3"/>
        <v>82</v>
      </c>
      <c r="B89" s="9" t="s">
        <v>152</v>
      </c>
      <c r="C89" s="9">
        <v>22167</v>
      </c>
      <c r="D89" s="17" t="s">
        <v>584</v>
      </c>
      <c r="E89" s="21"/>
      <c r="F89" s="20"/>
      <c r="G89" s="20"/>
      <c r="H89" s="20"/>
      <c r="I89" s="20"/>
      <c r="J89" s="20"/>
      <c r="K89" s="22"/>
      <c r="L89" s="20"/>
      <c r="M89" s="20"/>
      <c r="N89" s="20"/>
      <c r="O89" s="20"/>
      <c r="P89" s="20"/>
      <c r="Q89" s="20">
        <f t="shared" si="2"/>
        <v>0</v>
      </c>
    </row>
    <row r="90" spans="1:17" ht="12.75">
      <c r="A90" s="73">
        <f t="shared" si="3"/>
        <v>83</v>
      </c>
      <c r="B90" s="9" t="s">
        <v>153</v>
      </c>
      <c r="C90" s="9">
        <v>22193</v>
      </c>
      <c r="D90" s="17">
        <v>4</v>
      </c>
      <c r="E90" s="20">
        <v>271.2</v>
      </c>
      <c r="F90" s="20">
        <v>216.96</v>
      </c>
      <c r="G90" s="20">
        <v>189.84</v>
      </c>
      <c r="H90" s="20">
        <v>135.6</v>
      </c>
      <c r="I90" s="20">
        <v>81.36</v>
      </c>
      <c r="J90" s="20">
        <v>54.24</v>
      </c>
      <c r="K90" s="22">
        <f>ROUND(0.04*143.25,0)*3.53*4</f>
        <v>84.72</v>
      </c>
      <c r="L90" s="22">
        <f>ROUND(0.04*235.08,0)*3.53*4</f>
        <v>127.08</v>
      </c>
      <c r="M90" s="22">
        <f>ROUND(0.04*314.17,0)*3.53*4</f>
        <v>183.56</v>
      </c>
      <c r="N90" s="22">
        <f>ROUND(0.04*430.83,0)*3.53*4</f>
        <v>240.04</v>
      </c>
      <c r="O90" s="22">
        <f>ROUND(0.04*492.08,0)*3.53*4</f>
        <v>282.4</v>
      </c>
      <c r="P90" s="22">
        <f>ROUND(0.04*548.5,0)*3.53*4</f>
        <v>310.64</v>
      </c>
      <c r="Q90" s="20">
        <f t="shared" si="2"/>
        <v>2177.64</v>
      </c>
    </row>
    <row r="91" spans="1:231" s="44" customFormat="1" ht="12.75">
      <c r="A91" s="73">
        <f t="shared" si="3"/>
        <v>84</v>
      </c>
      <c r="B91" s="10" t="s">
        <v>154</v>
      </c>
      <c r="C91" s="10">
        <v>21313</v>
      </c>
      <c r="D91" s="45" t="s">
        <v>584</v>
      </c>
      <c r="E91" s="46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>
        <f t="shared" si="2"/>
        <v>0</v>
      </c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</row>
    <row r="92" spans="1:17" ht="12.75">
      <c r="A92" s="73">
        <f t="shared" si="3"/>
        <v>85</v>
      </c>
      <c r="B92" s="9" t="s">
        <v>155</v>
      </c>
      <c r="C92" s="9">
        <v>21315</v>
      </c>
      <c r="D92" s="17">
        <v>1</v>
      </c>
      <c r="E92" s="21">
        <v>67.8</v>
      </c>
      <c r="F92" s="20">
        <v>54.24</v>
      </c>
      <c r="G92" s="20">
        <v>47.46</v>
      </c>
      <c r="H92" s="20">
        <v>33.9</v>
      </c>
      <c r="I92" s="20">
        <v>20.34</v>
      </c>
      <c r="J92" s="20">
        <v>13.56</v>
      </c>
      <c r="K92" s="22">
        <f>ROUND(0.04*143.25,0)*3.53</f>
        <v>21.18</v>
      </c>
      <c r="L92" s="22">
        <f>ROUND(0.04*235.08,0)*3.53</f>
        <v>31.77</v>
      </c>
      <c r="M92" s="22">
        <f>ROUND(0.04*314.17,0)*3.53</f>
        <v>45.89</v>
      </c>
      <c r="N92" s="22">
        <f>ROUND(0.04*430.83,0)*3.53</f>
        <v>60.01</v>
      </c>
      <c r="O92" s="22">
        <f>ROUND(0.04*492.08,0)*3.53</f>
        <v>70.6</v>
      </c>
      <c r="P92" s="22">
        <f>ROUND(0.04*548.5,0)*3.53</f>
        <v>77.66</v>
      </c>
      <c r="Q92" s="20">
        <f t="shared" si="2"/>
        <v>544.41</v>
      </c>
    </row>
    <row r="93" spans="1:17" ht="12.75">
      <c r="A93" s="73">
        <f t="shared" si="3"/>
        <v>86</v>
      </c>
      <c r="B93" s="9" t="s">
        <v>156</v>
      </c>
      <c r="C93" s="9">
        <v>21150</v>
      </c>
      <c r="D93" s="17">
        <v>0</v>
      </c>
      <c r="E93" s="21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2"/>
      <c r="L93" s="20"/>
      <c r="M93" s="20"/>
      <c r="N93" s="20"/>
      <c r="O93" s="20"/>
      <c r="P93" s="20"/>
      <c r="Q93" s="20">
        <f t="shared" si="2"/>
        <v>0</v>
      </c>
    </row>
    <row r="94" spans="1:17" ht="12.75">
      <c r="A94" s="73">
        <f t="shared" si="3"/>
        <v>87</v>
      </c>
      <c r="B94" s="10" t="s">
        <v>157</v>
      </c>
      <c r="C94" s="10">
        <v>21152</v>
      </c>
      <c r="D94" s="45">
        <v>2</v>
      </c>
      <c r="E94" s="43">
        <v>135.6</v>
      </c>
      <c r="F94" s="43">
        <v>108.48</v>
      </c>
      <c r="G94" s="43">
        <v>94.92</v>
      </c>
      <c r="H94" s="43">
        <v>67.8</v>
      </c>
      <c r="I94" s="43">
        <v>40.68</v>
      </c>
      <c r="J94" s="43">
        <v>27.12</v>
      </c>
      <c r="K94" s="43">
        <f>ROUND(0.04*143.25,0)*3.53*2</f>
        <v>42.36</v>
      </c>
      <c r="L94" s="43">
        <f>ROUND(0.04*235.08,0)*3.53*2</f>
        <v>63.54</v>
      </c>
      <c r="M94" s="43"/>
      <c r="N94" s="43"/>
      <c r="O94" s="43"/>
      <c r="P94" s="43"/>
      <c r="Q94" s="43">
        <f t="shared" si="2"/>
        <v>580.5</v>
      </c>
    </row>
    <row r="95" spans="1:17" ht="12.75">
      <c r="A95" s="73">
        <f t="shared" si="3"/>
        <v>88</v>
      </c>
      <c r="B95" s="9" t="s">
        <v>158</v>
      </c>
      <c r="C95" s="9">
        <v>21316</v>
      </c>
      <c r="D95" s="17" t="s">
        <v>584</v>
      </c>
      <c r="E95" s="21"/>
      <c r="F95" s="20"/>
      <c r="G95" s="20"/>
      <c r="H95" s="20"/>
      <c r="I95" s="20"/>
      <c r="J95" s="20"/>
      <c r="K95" s="22"/>
      <c r="L95" s="20"/>
      <c r="M95" s="21"/>
      <c r="N95" s="21"/>
      <c r="O95" s="21"/>
      <c r="P95" s="21"/>
      <c r="Q95" s="20">
        <f t="shared" si="2"/>
        <v>0</v>
      </c>
    </row>
    <row r="96" spans="1:17" ht="12.75">
      <c r="A96" s="73">
        <f t="shared" si="3"/>
        <v>89</v>
      </c>
      <c r="B96" s="9" t="s">
        <v>159</v>
      </c>
      <c r="C96" s="9">
        <v>12007</v>
      </c>
      <c r="D96" s="17" t="s">
        <v>585</v>
      </c>
      <c r="E96" s="20">
        <v>598.37</v>
      </c>
      <c r="F96" s="20">
        <v>73.53</v>
      </c>
      <c r="G96" s="20">
        <v>541.68</v>
      </c>
      <c r="H96" s="20">
        <v>582.67</v>
      </c>
      <c r="I96" s="20">
        <v>570.31</v>
      </c>
      <c r="J96" s="20">
        <v>304.62</v>
      </c>
      <c r="K96" s="22">
        <v>499.74</v>
      </c>
      <c r="L96" s="20">
        <v>373.15</v>
      </c>
      <c r="M96" s="20">
        <v>390.9</v>
      </c>
      <c r="N96" s="20">
        <v>407.29</v>
      </c>
      <c r="O96" s="20">
        <v>0</v>
      </c>
      <c r="P96" s="20">
        <v>0</v>
      </c>
      <c r="Q96" s="20">
        <f t="shared" si="2"/>
        <v>4342.26</v>
      </c>
    </row>
    <row r="97" spans="1:17" ht="12.75">
      <c r="A97" s="73">
        <f t="shared" si="3"/>
        <v>90</v>
      </c>
      <c r="B97" s="9" t="s">
        <v>160</v>
      </c>
      <c r="C97" s="9">
        <v>21842</v>
      </c>
      <c r="D97" s="17">
        <v>0</v>
      </c>
      <c r="E97" s="21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2"/>
      <c r="L97" s="20"/>
      <c r="M97" s="20"/>
      <c r="N97" s="20"/>
      <c r="O97" s="20"/>
      <c r="P97" s="20"/>
      <c r="Q97" s="20">
        <f t="shared" si="2"/>
        <v>0</v>
      </c>
    </row>
    <row r="98" spans="1:17" ht="12.75">
      <c r="A98" s="73">
        <f t="shared" si="3"/>
        <v>91</v>
      </c>
      <c r="B98" s="9" t="s">
        <v>161</v>
      </c>
      <c r="C98" s="9">
        <v>21843</v>
      </c>
      <c r="D98" s="17">
        <v>0</v>
      </c>
      <c r="E98" s="21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2"/>
      <c r="L98" s="20"/>
      <c r="M98" s="20"/>
      <c r="N98" s="20"/>
      <c r="O98" s="20"/>
      <c r="P98" s="20"/>
      <c r="Q98" s="20">
        <f t="shared" si="2"/>
        <v>0</v>
      </c>
    </row>
    <row r="99" spans="1:17" ht="12.75">
      <c r="A99" s="73">
        <f t="shared" si="3"/>
        <v>92</v>
      </c>
      <c r="B99" s="9" t="s">
        <v>162</v>
      </c>
      <c r="C99" s="9">
        <v>21844</v>
      </c>
      <c r="D99" s="17" t="s">
        <v>585</v>
      </c>
      <c r="E99" s="20">
        <v>244.08</v>
      </c>
      <c r="F99" s="20">
        <v>244.08</v>
      </c>
      <c r="G99" s="20">
        <v>244.08</v>
      </c>
      <c r="H99" s="20">
        <v>244.08</v>
      </c>
      <c r="I99" s="20">
        <v>244.08</v>
      </c>
      <c r="J99" s="20">
        <v>244.08</v>
      </c>
      <c r="K99" s="22">
        <v>254.16</v>
      </c>
      <c r="L99" s="20">
        <v>254.16</v>
      </c>
      <c r="M99" s="20">
        <v>254.16</v>
      </c>
      <c r="N99" s="20">
        <v>254.16</v>
      </c>
      <c r="O99" s="20">
        <v>254.16</v>
      </c>
      <c r="P99" s="20">
        <v>254.16</v>
      </c>
      <c r="Q99" s="20">
        <f t="shared" si="2"/>
        <v>2989.4399999999996</v>
      </c>
    </row>
    <row r="100" spans="1:17" ht="12.75">
      <c r="A100" s="73">
        <f t="shared" si="3"/>
        <v>93</v>
      </c>
      <c r="B100" s="9" t="s">
        <v>163</v>
      </c>
      <c r="C100" s="9">
        <v>21845</v>
      </c>
      <c r="D100" s="17">
        <v>3</v>
      </c>
      <c r="E100" s="20">
        <v>203.4</v>
      </c>
      <c r="F100" s="20">
        <v>162.72</v>
      </c>
      <c r="G100" s="20">
        <v>142.38</v>
      </c>
      <c r="H100" s="20">
        <v>101.7</v>
      </c>
      <c r="I100" s="20">
        <v>61.02</v>
      </c>
      <c r="J100" s="20">
        <v>40.68</v>
      </c>
      <c r="K100" s="22">
        <f>ROUND(0.04*143.25,0)*3.53*3</f>
        <v>63.54</v>
      </c>
      <c r="L100" s="22">
        <f>ROUND(0.04*235.08,0)*3.53*3</f>
        <v>95.31</v>
      </c>
      <c r="M100" s="22">
        <f>ROUND(0.04*314.17,0)*3.53*3</f>
        <v>137.67000000000002</v>
      </c>
      <c r="N100" s="22">
        <f>ROUND(0.04*430.83,0)*3.53*3</f>
        <v>180.03</v>
      </c>
      <c r="O100" s="22">
        <f>ROUND(0.04*492.08,0)*3.53*3</f>
        <v>211.79999999999998</v>
      </c>
      <c r="P100" s="22">
        <f>ROUND(0.04*548.5,0)*3.53*3</f>
        <v>232.98</v>
      </c>
      <c r="Q100" s="20">
        <f t="shared" si="2"/>
        <v>1633.23</v>
      </c>
    </row>
    <row r="101" spans="1:231" s="44" customFormat="1" ht="12.75">
      <c r="A101" s="73">
        <f t="shared" si="3"/>
        <v>94</v>
      </c>
      <c r="B101" s="9" t="s">
        <v>164</v>
      </c>
      <c r="C101" s="9">
        <v>21846</v>
      </c>
      <c r="D101" s="17">
        <v>0</v>
      </c>
      <c r="E101" s="21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2"/>
      <c r="L101" s="20"/>
      <c r="M101" s="20"/>
      <c r="N101" s="20"/>
      <c r="O101" s="20"/>
      <c r="P101" s="20"/>
      <c r="Q101" s="20">
        <f t="shared" si="2"/>
        <v>0</v>
      </c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</row>
    <row r="102" spans="1:17" ht="12.75">
      <c r="A102" s="73">
        <f t="shared" si="3"/>
        <v>95</v>
      </c>
      <c r="B102" s="9" t="s">
        <v>165</v>
      </c>
      <c r="C102" s="9">
        <v>21847</v>
      </c>
      <c r="D102" s="17">
        <v>0</v>
      </c>
      <c r="E102" s="21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2"/>
      <c r="L102" s="20"/>
      <c r="M102" s="20"/>
      <c r="N102" s="20"/>
      <c r="O102" s="20"/>
      <c r="P102" s="20"/>
      <c r="Q102" s="20">
        <f t="shared" si="2"/>
        <v>0</v>
      </c>
    </row>
    <row r="103" spans="1:17" ht="12.75">
      <c r="A103" s="73">
        <f t="shared" si="3"/>
        <v>96</v>
      </c>
      <c r="B103" s="9" t="s">
        <v>166</v>
      </c>
      <c r="C103" s="9">
        <v>21853</v>
      </c>
      <c r="D103" s="17">
        <v>0</v>
      </c>
      <c r="E103" s="21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2"/>
      <c r="L103" s="20"/>
      <c r="M103" s="20"/>
      <c r="N103" s="20"/>
      <c r="O103" s="20"/>
      <c r="P103" s="20"/>
      <c r="Q103" s="20">
        <f t="shared" si="2"/>
        <v>0</v>
      </c>
    </row>
    <row r="104" spans="1:17" ht="12.75">
      <c r="A104" s="73">
        <f t="shared" si="3"/>
        <v>97</v>
      </c>
      <c r="B104" s="9" t="s">
        <v>167</v>
      </c>
      <c r="C104" s="9">
        <v>21330</v>
      </c>
      <c r="D104" s="17">
        <v>0</v>
      </c>
      <c r="E104" s="21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2"/>
      <c r="L104" s="20"/>
      <c r="M104" s="20"/>
      <c r="N104" s="20"/>
      <c r="O104" s="20"/>
      <c r="P104" s="20"/>
      <c r="Q104" s="20">
        <f t="shared" si="2"/>
        <v>0</v>
      </c>
    </row>
    <row r="105" spans="1:17" ht="12.75">
      <c r="A105" s="73">
        <f t="shared" si="3"/>
        <v>98</v>
      </c>
      <c r="B105" s="10" t="s">
        <v>168</v>
      </c>
      <c r="C105" s="10">
        <v>12016</v>
      </c>
      <c r="D105" s="45" t="s">
        <v>584</v>
      </c>
      <c r="E105" s="46"/>
      <c r="F105" s="43"/>
      <c r="G105" s="43"/>
      <c r="H105" s="43"/>
      <c r="I105" s="43"/>
      <c r="J105" s="43"/>
      <c r="K105" s="43"/>
      <c r="L105" s="43"/>
      <c r="M105" s="46"/>
      <c r="N105" s="46"/>
      <c r="O105" s="46"/>
      <c r="P105" s="46"/>
      <c r="Q105" s="43">
        <f t="shared" si="2"/>
        <v>0</v>
      </c>
    </row>
    <row r="106" spans="1:17" ht="12.75">
      <c r="A106" s="73">
        <f t="shared" si="3"/>
        <v>99</v>
      </c>
      <c r="B106" s="9" t="s">
        <v>169</v>
      </c>
      <c r="C106" s="9">
        <v>12015</v>
      </c>
      <c r="D106" s="17">
        <v>6</v>
      </c>
      <c r="E106" s="20">
        <v>406.8</v>
      </c>
      <c r="F106" s="20">
        <v>325.44</v>
      </c>
      <c r="G106" s="20">
        <v>284.76</v>
      </c>
      <c r="H106" s="20">
        <v>203.4</v>
      </c>
      <c r="I106" s="20">
        <v>122.04</v>
      </c>
      <c r="J106" s="20">
        <v>81.36</v>
      </c>
      <c r="K106" s="22">
        <f>ROUND(0.04*143.25,0)*3.53*6</f>
        <v>127.08</v>
      </c>
      <c r="L106" s="22">
        <f>ROUND(0.04*235.08,0)*3.53*6</f>
        <v>190.62</v>
      </c>
      <c r="M106" s="22">
        <f>ROUND(0.04*314.17,0)*3.53*6</f>
        <v>275.34000000000003</v>
      </c>
      <c r="N106" s="22">
        <f>ROUND(0.04*430.83,0)*3.53*6</f>
        <v>360.06</v>
      </c>
      <c r="O106" s="22">
        <f>ROUND(0.04*492.08,0)*3.53*6</f>
        <v>423.59999999999997</v>
      </c>
      <c r="P106" s="22">
        <f>ROUND(0.04*548.5,0)*3.53*6</f>
        <v>465.96</v>
      </c>
      <c r="Q106" s="20">
        <f t="shared" si="2"/>
        <v>3266.46</v>
      </c>
    </row>
    <row r="107" spans="1:17" ht="12.75">
      <c r="A107" s="73">
        <f t="shared" si="3"/>
        <v>100</v>
      </c>
      <c r="B107" s="61" t="s">
        <v>561</v>
      </c>
      <c r="C107" s="11">
        <v>10005</v>
      </c>
      <c r="D107" s="17" t="s">
        <v>586</v>
      </c>
      <c r="E107" s="20"/>
      <c r="F107" s="20"/>
      <c r="G107" s="20"/>
      <c r="H107" s="20"/>
      <c r="I107" s="20"/>
      <c r="J107" s="20"/>
      <c r="K107" s="22"/>
      <c r="L107" s="20"/>
      <c r="M107" s="20"/>
      <c r="N107" s="20"/>
      <c r="O107" s="20"/>
      <c r="P107" s="20"/>
      <c r="Q107" s="20">
        <f>E107+F107+G107+H107+I107+J107+K107+L107+M107+N107+O107+P107</f>
        <v>0</v>
      </c>
    </row>
    <row r="108" spans="1:17" ht="12.75">
      <c r="A108" s="73">
        <f t="shared" si="3"/>
        <v>101</v>
      </c>
      <c r="B108" s="9" t="s">
        <v>170</v>
      </c>
      <c r="C108" s="9">
        <v>19498</v>
      </c>
      <c r="D108" s="31" t="s">
        <v>588</v>
      </c>
      <c r="E108" s="20">
        <v>13641.13</v>
      </c>
      <c r="F108" s="20">
        <v>2889.69</v>
      </c>
      <c r="G108" s="20">
        <v>13331.54</v>
      </c>
      <c r="H108" s="20">
        <v>9942</v>
      </c>
      <c r="I108" s="20">
        <v>8709.82</v>
      </c>
      <c r="J108" s="20">
        <v>8947.96</v>
      </c>
      <c r="K108" s="22">
        <v>10544.43</v>
      </c>
      <c r="L108" s="20">
        <v>8339.01</v>
      </c>
      <c r="M108" s="20">
        <v>13536.93</v>
      </c>
      <c r="N108" s="20">
        <v>8339.01</v>
      </c>
      <c r="O108" s="20">
        <v>6313.65</v>
      </c>
      <c r="P108" s="20">
        <v>8863.56</v>
      </c>
      <c r="Q108" s="20">
        <f t="shared" si="2"/>
        <v>113398.73</v>
      </c>
    </row>
    <row r="109" spans="1:17" ht="12.75">
      <c r="A109" s="73">
        <f t="shared" si="3"/>
        <v>102</v>
      </c>
      <c r="B109" s="51" t="s">
        <v>171</v>
      </c>
      <c r="C109" s="9">
        <v>12501</v>
      </c>
      <c r="D109" s="31" t="s">
        <v>588</v>
      </c>
      <c r="E109" s="20">
        <v>15841.64</v>
      </c>
      <c r="F109" s="20">
        <v>7381.2</v>
      </c>
      <c r="G109" s="20">
        <v>13181.33</v>
      </c>
      <c r="H109" s="20">
        <v>15122.36</v>
      </c>
      <c r="I109" s="20">
        <v>12393.07</v>
      </c>
      <c r="J109" s="20">
        <v>8910.05</v>
      </c>
      <c r="K109" s="22">
        <v>17672.57</v>
      </c>
      <c r="L109" s="20">
        <v>12884.11</v>
      </c>
      <c r="M109" s="20">
        <v>11306.21</v>
      </c>
      <c r="N109" s="20">
        <v>12664.49</v>
      </c>
      <c r="O109" s="20">
        <v>14719.32</v>
      </c>
      <c r="P109" s="20">
        <v>493.27</v>
      </c>
      <c r="Q109" s="20">
        <f t="shared" si="2"/>
        <v>142569.62</v>
      </c>
    </row>
    <row r="110" spans="1:17" ht="12.75">
      <c r="A110" s="73">
        <f t="shared" si="3"/>
        <v>103</v>
      </c>
      <c r="B110" s="51" t="s">
        <v>172</v>
      </c>
      <c r="C110" s="9">
        <v>12502</v>
      </c>
      <c r="D110" s="31" t="s">
        <v>588</v>
      </c>
      <c r="E110" s="20">
        <v>4109.31</v>
      </c>
      <c r="F110" s="20">
        <v>2609.3</v>
      </c>
      <c r="G110" s="20">
        <v>3191.33</v>
      </c>
      <c r="H110" s="20">
        <v>3156.45</v>
      </c>
      <c r="I110" s="20">
        <v>2657.18</v>
      </c>
      <c r="J110" s="20">
        <v>2406.48</v>
      </c>
      <c r="K110" s="22">
        <v>2701.63</v>
      </c>
      <c r="L110" s="20">
        <v>2945.42</v>
      </c>
      <c r="M110" s="20">
        <v>3001.59</v>
      </c>
      <c r="N110" s="20">
        <v>3673.97</v>
      </c>
      <c r="O110" s="20">
        <v>5026.56</v>
      </c>
      <c r="P110" s="20">
        <v>2695.94</v>
      </c>
      <c r="Q110" s="20">
        <f t="shared" si="2"/>
        <v>38175.16</v>
      </c>
    </row>
    <row r="111" spans="1:17" ht="12.75">
      <c r="A111" s="73">
        <f t="shared" si="3"/>
        <v>104</v>
      </c>
      <c r="B111" s="51" t="s">
        <v>173</v>
      </c>
      <c r="C111" s="9">
        <v>12503</v>
      </c>
      <c r="D111" s="31" t="s">
        <v>588</v>
      </c>
      <c r="E111" s="20">
        <v>3415.32</v>
      </c>
      <c r="F111" s="20">
        <v>1491.13</v>
      </c>
      <c r="G111" s="20">
        <v>2838.19</v>
      </c>
      <c r="H111" s="20">
        <v>2962.44</v>
      </c>
      <c r="I111" s="20">
        <v>2418.77</v>
      </c>
      <c r="J111" s="20">
        <v>1923.55</v>
      </c>
      <c r="K111" s="22">
        <v>1889.41</v>
      </c>
      <c r="L111" s="20">
        <v>2304.31</v>
      </c>
      <c r="M111" s="20">
        <v>2731.49</v>
      </c>
      <c r="N111" s="20">
        <v>3465</v>
      </c>
      <c r="O111" s="20">
        <v>3437.28</v>
      </c>
      <c r="P111" s="20">
        <v>3803.33</v>
      </c>
      <c r="Q111" s="20">
        <f t="shared" si="2"/>
        <v>32680.22</v>
      </c>
    </row>
    <row r="112" spans="1:17" ht="12.75">
      <c r="A112" s="73">
        <f t="shared" si="3"/>
        <v>105</v>
      </c>
      <c r="B112" s="51" t="s">
        <v>174</v>
      </c>
      <c r="C112" s="9">
        <v>12504</v>
      </c>
      <c r="D112" s="31" t="s">
        <v>588</v>
      </c>
      <c r="E112" s="20">
        <v>2881.17</v>
      </c>
      <c r="F112" s="20">
        <v>1592.22</v>
      </c>
      <c r="G112" s="20">
        <v>2349.79</v>
      </c>
      <c r="H112" s="20">
        <v>2520.5</v>
      </c>
      <c r="I112" s="20">
        <v>2136.67</v>
      </c>
      <c r="J112" s="20">
        <v>1971.36</v>
      </c>
      <c r="K112" s="22">
        <v>1999.39</v>
      </c>
      <c r="L112" s="20">
        <v>2337.72</v>
      </c>
      <c r="M112" s="20">
        <v>2746.42</v>
      </c>
      <c r="N112" s="20">
        <v>3003</v>
      </c>
      <c r="O112" s="20">
        <v>3520.44</v>
      </c>
      <c r="P112" s="20">
        <v>3258.17</v>
      </c>
      <c r="Q112" s="20">
        <f t="shared" si="2"/>
        <v>30316.85</v>
      </c>
    </row>
    <row r="113" spans="1:17" ht="12.75">
      <c r="A113" s="73">
        <f t="shared" si="3"/>
        <v>106</v>
      </c>
      <c r="B113" s="51" t="s">
        <v>175</v>
      </c>
      <c r="C113" s="9">
        <v>12011</v>
      </c>
      <c r="D113" s="17">
        <v>0</v>
      </c>
      <c r="E113" s="21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2"/>
      <c r="L113" s="20"/>
      <c r="M113" s="20"/>
      <c r="N113" s="20"/>
      <c r="O113" s="20"/>
      <c r="P113" s="20"/>
      <c r="Q113" s="20">
        <f t="shared" si="2"/>
        <v>0</v>
      </c>
    </row>
    <row r="114" spans="1:17" ht="12.75">
      <c r="A114" s="73">
        <f t="shared" si="3"/>
        <v>107</v>
      </c>
      <c r="B114" s="51" t="s">
        <v>176</v>
      </c>
      <c r="C114" s="9">
        <v>21442</v>
      </c>
      <c r="D114" s="17">
        <v>0</v>
      </c>
      <c r="E114" s="21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2"/>
      <c r="L114" s="20"/>
      <c r="M114" s="20"/>
      <c r="N114" s="20"/>
      <c r="O114" s="20"/>
      <c r="P114" s="20"/>
      <c r="Q114" s="20">
        <f t="shared" si="2"/>
        <v>0</v>
      </c>
    </row>
    <row r="115" spans="1:17" ht="12.75">
      <c r="A115" s="73">
        <f t="shared" si="3"/>
        <v>108</v>
      </c>
      <c r="B115" s="51" t="s">
        <v>177</v>
      </c>
      <c r="C115" s="9">
        <v>12019</v>
      </c>
      <c r="D115" s="17" t="s">
        <v>584</v>
      </c>
      <c r="E115" s="21"/>
      <c r="F115" s="20"/>
      <c r="G115" s="20"/>
      <c r="H115" s="20"/>
      <c r="I115" s="20"/>
      <c r="J115" s="20"/>
      <c r="K115" s="22"/>
      <c r="L115" s="20"/>
      <c r="M115" s="21"/>
      <c r="N115" s="21"/>
      <c r="O115" s="21"/>
      <c r="P115" s="21"/>
      <c r="Q115" s="20">
        <f t="shared" si="2"/>
        <v>0</v>
      </c>
    </row>
    <row r="116" spans="1:17" ht="12.75">
      <c r="A116" s="73">
        <f t="shared" si="3"/>
        <v>109</v>
      </c>
      <c r="B116" s="10" t="s">
        <v>178</v>
      </c>
      <c r="C116" s="10">
        <v>12020</v>
      </c>
      <c r="D116" s="45">
        <v>3</v>
      </c>
      <c r="E116" s="43">
        <v>203.4</v>
      </c>
      <c r="F116" s="43">
        <v>162.72</v>
      </c>
      <c r="G116" s="43">
        <v>142.38</v>
      </c>
      <c r="H116" s="43">
        <v>101.7</v>
      </c>
      <c r="I116" s="43">
        <v>61.02</v>
      </c>
      <c r="J116" s="43">
        <v>40.68</v>
      </c>
      <c r="K116" s="43">
        <f>ROUND(0.04*143.25,0)*3.53*3</f>
        <v>63.54</v>
      </c>
      <c r="L116" s="43">
        <f>ROUND(0.04*235.08,0)*3.53*3</f>
        <v>95.31</v>
      </c>
      <c r="M116" s="43">
        <f>ROUND(0.04*314.17,0)*3.53*3</f>
        <v>137.67000000000002</v>
      </c>
      <c r="N116" s="43">
        <f>ROUND(0.04*430.83,0)*3.53*3</f>
        <v>180.03</v>
      </c>
      <c r="O116" s="43">
        <f>ROUND(0.04*492.08,0)*3.53*3</f>
        <v>211.79999999999998</v>
      </c>
      <c r="P116" s="43">
        <f>ROUND(0.04*548.5,0)*3.53*3</f>
        <v>232.98</v>
      </c>
      <c r="Q116" s="43">
        <f t="shared" si="2"/>
        <v>1633.23</v>
      </c>
    </row>
    <row r="117" spans="1:17" ht="12.75">
      <c r="A117" s="73">
        <f t="shared" si="3"/>
        <v>110</v>
      </c>
      <c r="B117" s="9" t="s">
        <v>179</v>
      </c>
      <c r="C117" s="9">
        <v>12021</v>
      </c>
      <c r="D117" s="17">
        <v>3</v>
      </c>
      <c r="E117" s="20">
        <v>203.4</v>
      </c>
      <c r="F117" s="20">
        <v>162.72</v>
      </c>
      <c r="G117" s="20">
        <v>142.38</v>
      </c>
      <c r="H117" s="20">
        <v>101.7</v>
      </c>
      <c r="I117" s="20">
        <v>61.02</v>
      </c>
      <c r="J117" s="20">
        <v>40.68</v>
      </c>
      <c r="K117" s="22">
        <f>ROUND(0.04*143.25,0)*3.53*3</f>
        <v>63.54</v>
      </c>
      <c r="L117" s="22">
        <f>ROUND(0.04*235.08,0)*3.53*3</f>
        <v>95.31</v>
      </c>
      <c r="M117" s="22">
        <f>ROUND(0.04*314.17,0)*3.53*3</f>
        <v>137.67000000000002</v>
      </c>
      <c r="N117" s="22">
        <f>ROUND(0.04*430.83,0)*3.53*3</f>
        <v>180.03</v>
      </c>
      <c r="O117" s="22">
        <f>ROUND(0.04*492.08,0)*3.53*3</f>
        <v>211.79999999999998</v>
      </c>
      <c r="P117" s="22">
        <f>ROUND(0.04*548.5,0)*3.53*3</f>
        <v>232.98</v>
      </c>
      <c r="Q117" s="20">
        <f t="shared" si="2"/>
        <v>1633.23</v>
      </c>
    </row>
    <row r="118" spans="1:17" ht="12.75">
      <c r="A118" s="73">
        <f t="shared" si="3"/>
        <v>111</v>
      </c>
      <c r="B118" s="9" t="s">
        <v>180</v>
      </c>
      <c r="C118" s="9">
        <v>21450</v>
      </c>
      <c r="D118" s="17">
        <v>2</v>
      </c>
      <c r="E118" s="20">
        <v>135.6</v>
      </c>
      <c r="F118" s="20">
        <v>108.48</v>
      </c>
      <c r="G118" s="20">
        <v>94.92</v>
      </c>
      <c r="H118" s="20">
        <v>67.8</v>
      </c>
      <c r="I118" s="22">
        <v>40.68</v>
      </c>
      <c r="J118" s="20">
        <v>27.12</v>
      </c>
      <c r="K118" s="22">
        <f>ROUND(0.04*143.25,0)*3.53*2</f>
        <v>42.36</v>
      </c>
      <c r="L118" s="22">
        <f>ROUND(0.04*235.08,0)*3.53*2</f>
        <v>63.54</v>
      </c>
      <c r="M118" s="22">
        <f>ROUND(0.04*314.17,0)*3.53*2</f>
        <v>91.78</v>
      </c>
      <c r="N118" s="22">
        <f>ROUND(0.04*430.83,0)*3.53*2</f>
        <v>120.02</v>
      </c>
      <c r="O118" s="22">
        <f>ROUND(0.04*492.08,0)*3.53*2</f>
        <v>141.2</v>
      </c>
      <c r="P118" s="22">
        <f>ROUND(0.04*548.5,0)*3.53*2</f>
        <v>155.32</v>
      </c>
      <c r="Q118" s="20">
        <f t="shared" si="2"/>
        <v>1088.82</v>
      </c>
    </row>
    <row r="119" spans="1:17" ht="12.75">
      <c r="A119" s="73">
        <f t="shared" si="3"/>
        <v>112</v>
      </c>
      <c r="B119" s="9" t="s">
        <v>181</v>
      </c>
      <c r="C119" s="9">
        <v>22173</v>
      </c>
      <c r="D119" s="17">
        <v>4</v>
      </c>
      <c r="E119" s="20">
        <v>271.2</v>
      </c>
      <c r="F119" s="20">
        <v>216.96</v>
      </c>
      <c r="G119" s="20">
        <v>189.84</v>
      </c>
      <c r="H119" s="20">
        <v>135.6</v>
      </c>
      <c r="I119" s="20">
        <v>81.36</v>
      </c>
      <c r="J119" s="20">
        <v>54.24</v>
      </c>
      <c r="K119" s="22">
        <f>ROUND(0.04*143.25,0)*3.53*4</f>
        <v>84.72</v>
      </c>
      <c r="L119" s="22">
        <f>ROUND(0.04*235.08,0)*3.53*4</f>
        <v>127.08</v>
      </c>
      <c r="M119" s="22">
        <f>ROUND(0.04*314.17,0)*3.53*4</f>
        <v>183.56</v>
      </c>
      <c r="N119" s="22">
        <f>ROUND(0.04*430.83,0)*3.53*4</f>
        <v>240.04</v>
      </c>
      <c r="O119" s="22">
        <f>ROUND(0.04*492.08,0)*3.53*4</f>
        <v>282.4</v>
      </c>
      <c r="P119" s="22">
        <f>ROUND(0.04*548.5,0)*3.53*4</f>
        <v>310.64</v>
      </c>
      <c r="Q119" s="20">
        <f t="shared" si="2"/>
        <v>2177.64</v>
      </c>
    </row>
    <row r="120" spans="1:17" ht="12.75">
      <c r="A120" s="73">
        <f t="shared" si="3"/>
        <v>113</v>
      </c>
      <c r="B120" s="9" t="s">
        <v>182</v>
      </c>
      <c r="C120" s="9">
        <v>22169</v>
      </c>
      <c r="D120" s="17">
        <v>4</v>
      </c>
      <c r="E120" s="20">
        <v>271.2</v>
      </c>
      <c r="F120" s="20">
        <v>216.96</v>
      </c>
      <c r="G120" s="20">
        <v>189.84</v>
      </c>
      <c r="H120" s="20">
        <v>135.6</v>
      </c>
      <c r="I120" s="20">
        <v>81.36</v>
      </c>
      <c r="J120" s="20">
        <v>54.24</v>
      </c>
      <c r="K120" s="22">
        <f>ROUND(0.04*143.25,0)*3.53*4</f>
        <v>84.72</v>
      </c>
      <c r="L120" s="22">
        <f>ROUND(0.04*235.08,0)*3.53*4</f>
        <v>127.08</v>
      </c>
      <c r="M120" s="22">
        <f>ROUND(0.04*314.17,0)*3.53*4</f>
        <v>183.56</v>
      </c>
      <c r="N120" s="22">
        <f>ROUND(0.04*430.83,0)*3.53*4</f>
        <v>240.04</v>
      </c>
      <c r="O120" s="22">
        <f>ROUND(0.04*492.08,0)*3.53*4</f>
        <v>282.4</v>
      </c>
      <c r="P120" s="22">
        <f>ROUND(0.04*548.5,0)*3.53*4</f>
        <v>310.64</v>
      </c>
      <c r="Q120" s="20">
        <f t="shared" si="2"/>
        <v>2177.64</v>
      </c>
    </row>
    <row r="121" spans="1:17" ht="12.75">
      <c r="A121" s="73">
        <f t="shared" si="3"/>
        <v>114</v>
      </c>
      <c r="B121" s="9" t="s">
        <v>183</v>
      </c>
      <c r="C121" s="9">
        <v>22159</v>
      </c>
      <c r="D121" s="17" t="s">
        <v>584</v>
      </c>
      <c r="E121" s="21"/>
      <c r="F121" s="20"/>
      <c r="G121" s="20"/>
      <c r="H121" s="20"/>
      <c r="I121" s="20"/>
      <c r="J121" s="20"/>
      <c r="K121" s="22"/>
      <c r="L121" s="20"/>
      <c r="M121" s="21"/>
      <c r="N121" s="21"/>
      <c r="O121" s="21"/>
      <c r="P121" s="21"/>
      <c r="Q121" s="20">
        <f t="shared" si="2"/>
        <v>0</v>
      </c>
    </row>
    <row r="122" spans="1:17" ht="12.75">
      <c r="A122" s="73">
        <f t="shared" si="3"/>
        <v>115</v>
      </c>
      <c r="B122" s="9" t="s">
        <v>184</v>
      </c>
      <c r="C122" s="9">
        <v>21519</v>
      </c>
      <c r="D122" s="17" t="s">
        <v>711</v>
      </c>
      <c r="E122" s="20">
        <v>1627.2</v>
      </c>
      <c r="F122" s="20">
        <v>1301.76</v>
      </c>
      <c r="G122" s="20">
        <v>1139.04</v>
      </c>
      <c r="H122" s="20">
        <v>813.6</v>
      </c>
      <c r="I122" s="20">
        <v>488.16</v>
      </c>
      <c r="J122" s="20">
        <v>325.44</v>
      </c>
      <c r="K122" s="22">
        <f>ROUND(0.04*143.25,0)*3.53*24</f>
        <v>508.32</v>
      </c>
      <c r="L122" s="20">
        <f>378.78+986.9</f>
        <v>1365.6799999999998</v>
      </c>
      <c r="M122" s="20">
        <f>417.3+1278</f>
        <v>1695.3</v>
      </c>
      <c r="N122" s="20">
        <v>1644.09</v>
      </c>
      <c r="O122" s="20">
        <v>1643.46</v>
      </c>
      <c r="P122" s="20">
        <v>1580.77</v>
      </c>
      <c r="Q122" s="20">
        <f t="shared" si="2"/>
        <v>14132.82</v>
      </c>
    </row>
    <row r="123" spans="1:17" ht="12.75">
      <c r="A123" s="73">
        <f t="shared" si="3"/>
        <v>116</v>
      </c>
      <c r="B123" s="9" t="s">
        <v>185</v>
      </c>
      <c r="C123" s="9">
        <v>21520</v>
      </c>
      <c r="D123" s="17" t="s">
        <v>712</v>
      </c>
      <c r="E123" s="20">
        <v>1559.4</v>
      </c>
      <c r="F123" s="20">
        <v>1247.52</v>
      </c>
      <c r="G123" s="20">
        <v>1091.58</v>
      </c>
      <c r="H123" s="20">
        <v>779.7</v>
      </c>
      <c r="I123" s="20">
        <v>467.82</v>
      </c>
      <c r="J123" s="20">
        <v>311.88</v>
      </c>
      <c r="K123" s="22">
        <f>ROUND(0.04*143.25,0)*3.53*23</f>
        <v>487.14</v>
      </c>
      <c r="L123" s="20">
        <f>160.5+85.2</f>
        <v>245.7</v>
      </c>
      <c r="M123" s="20">
        <f>216.14+188.15</f>
        <v>404.28999999999996</v>
      </c>
      <c r="N123" s="20">
        <v>390.77</v>
      </c>
      <c r="O123" s="20">
        <v>622</v>
      </c>
      <c r="P123" s="20">
        <v>670.44</v>
      </c>
      <c r="Q123" s="20">
        <f t="shared" si="2"/>
        <v>8278.24</v>
      </c>
    </row>
    <row r="124" spans="1:17" ht="12.75">
      <c r="A124" s="73">
        <f t="shared" si="3"/>
        <v>117</v>
      </c>
      <c r="B124" s="9" t="s">
        <v>186</v>
      </c>
      <c r="C124" s="9">
        <v>21521</v>
      </c>
      <c r="D124" s="17" t="s">
        <v>712</v>
      </c>
      <c r="E124" s="20">
        <v>1559.4</v>
      </c>
      <c r="F124" s="20">
        <v>1247.52</v>
      </c>
      <c r="G124" s="20">
        <v>1091.58</v>
      </c>
      <c r="H124" s="20">
        <v>779.7</v>
      </c>
      <c r="I124" s="20">
        <v>467.82</v>
      </c>
      <c r="J124" s="20">
        <v>311.88</v>
      </c>
      <c r="K124" s="22">
        <f>ROUND(0.04*143.25,0)*3.53*23</f>
        <v>487.14</v>
      </c>
      <c r="L124" s="20">
        <f>131.35+111.28</f>
        <v>242.63</v>
      </c>
      <c r="M124" s="20">
        <f>195.25+179.76</f>
        <v>375.01</v>
      </c>
      <c r="N124" s="20">
        <v>363.63</v>
      </c>
      <c r="O124" s="20">
        <v>796.88</v>
      </c>
      <c r="P124" s="20">
        <v>789.83</v>
      </c>
      <c r="Q124" s="20">
        <f t="shared" si="2"/>
        <v>8513.02</v>
      </c>
    </row>
    <row r="125" spans="1:231" s="44" customFormat="1" ht="12.75">
      <c r="A125" s="73">
        <f t="shared" si="3"/>
        <v>118</v>
      </c>
      <c r="B125" s="9" t="s">
        <v>187</v>
      </c>
      <c r="C125" s="9">
        <v>21522</v>
      </c>
      <c r="D125" s="17" t="s">
        <v>712</v>
      </c>
      <c r="E125" s="20">
        <v>1559.4</v>
      </c>
      <c r="F125" s="20">
        <v>1247.52</v>
      </c>
      <c r="G125" s="20">
        <v>1091.58</v>
      </c>
      <c r="H125" s="20">
        <v>779.7</v>
      </c>
      <c r="I125" s="20">
        <v>467.82</v>
      </c>
      <c r="J125" s="20">
        <v>311.88</v>
      </c>
      <c r="K125" s="22">
        <f>ROUND(0.04*143.25,0)*3.53*23</f>
        <v>487.14</v>
      </c>
      <c r="L125" s="20">
        <f>120.7</f>
        <v>120.7</v>
      </c>
      <c r="M125" s="20">
        <f>89.88+244.95</f>
        <v>334.83</v>
      </c>
      <c r="N125" s="20">
        <v>457.54</v>
      </c>
      <c r="O125" s="20">
        <v>779.13</v>
      </c>
      <c r="P125" s="20">
        <v>894.29</v>
      </c>
      <c r="Q125" s="20">
        <f t="shared" si="2"/>
        <v>8531.529999999999</v>
      </c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</row>
    <row r="126" spans="1:17" ht="12.75">
      <c r="A126" s="73">
        <f t="shared" si="3"/>
        <v>119</v>
      </c>
      <c r="B126" s="52" t="s">
        <v>620</v>
      </c>
      <c r="C126" s="9"/>
      <c r="D126" s="17">
        <v>15</v>
      </c>
      <c r="E126" s="20">
        <v>1017</v>
      </c>
      <c r="F126" s="20">
        <v>813.6</v>
      </c>
      <c r="G126" s="20">
        <v>711.9</v>
      </c>
      <c r="H126" s="20">
        <v>508.5</v>
      </c>
      <c r="I126" s="20">
        <v>305.1</v>
      </c>
      <c r="J126" s="20">
        <v>203.4</v>
      </c>
      <c r="K126" s="22">
        <f>ROUND(0.04*143.25,0)*3.53*15</f>
        <v>317.7</v>
      </c>
      <c r="L126" s="22">
        <f>ROUND(0.04*235.08,0)*3.53*15</f>
        <v>476.55</v>
      </c>
      <c r="M126" s="22">
        <f>ROUND(0.04*314.17,0)*3.53*15</f>
        <v>688.35</v>
      </c>
      <c r="N126" s="22">
        <f>ROUND(0.04*430.83,0)*3.53*15</f>
        <v>900.15</v>
      </c>
      <c r="O126" s="22">
        <f>ROUND(0.04*492.08,0)*3.53*15</f>
        <v>1059</v>
      </c>
      <c r="P126" s="22">
        <f>ROUND(0.04*548.5,0)*3.53*15</f>
        <v>1164.8999999999999</v>
      </c>
      <c r="Q126" s="20">
        <f t="shared" si="2"/>
        <v>8166.15</v>
      </c>
    </row>
    <row r="127" spans="1:17" ht="12.75">
      <c r="A127" s="73">
        <f t="shared" si="3"/>
        <v>120</v>
      </c>
      <c r="B127" s="52" t="s">
        <v>621</v>
      </c>
      <c r="C127" s="9"/>
      <c r="D127" s="17">
        <v>10</v>
      </c>
      <c r="E127" s="20">
        <v>678</v>
      </c>
      <c r="F127" s="20">
        <v>542.4</v>
      </c>
      <c r="G127" s="20">
        <v>474.6</v>
      </c>
      <c r="H127" s="20">
        <v>339</v>
      </c>
      <c r="I127" s="20">
        <v>203.4</v>
      </c>
      <c r="J127" s="20">
        <v>135.6</v>
      </c>
      <c r="K127" s="22">
        <f>ROUND(0.04*143.25,0)*3.53*10</f>
        <v>211.8</v>
      </c>
      <c r="L127" s="22">
        <f>ROUND(0.04*235.08,0)*3.53*10</f>
        <v>317.7</v>
      </c>
      <c r="M127" s="22">
        <f>ROUND(0.04*314.17,0)*3.53*10</f>
        <v>458.9</v>
      </c>
      <c r="N127" s="22">
        <f>ROUND(0.04*430.83,0)*3.53*10</f>
        <v>600.1</v>
      </c>
      <c r="O127" s="22">
        <f>ROUND(0.04*492.08,0)*3.53*10</f>
        <v>706</v>
      </c>
      <c r="P127" s="22">
        <f>ROUND(0.04*548.5,0)*3.53*10</f>
        <v>776.5999999999999</v>
      </c>
      <c r="Q127" s="20">
        <f t="shared" si="2"/>
        <v>5444.1</v>
      </c>
    </row>
    <row r="128" spans="1:17" ht="12.75">
      <c r="A128" s="73">
        <f t="shared" si="3"/>
        <v>121</v>
      </c>
      <c r="B128" s="52" t="s">
        <v>622</v>
      </c>
      <c r="C128" s="9"/>
      <c r="D128" s="17">
        <v>15</v>
      </c>
      <c r="E128" s="20">
        <v>1017</v>
      </c>
      <c r="F128" s="20">
        <v>813.6</v>
      </c>
      <c r="G128" s="20">
        <v>711.9</v>
      </c>
      <c r="H128" s="20">
        <v>508.5</v>
      </c>
      <c r="I128" s="20">
        <v>305.1</v>
      </c>
      <c r="J128" s="20">
        <v>203.4</v>
      </c>
      <c r="K128" s="22">
        <f>ROUND(0.04*143.25,0)*3.53*15</f>
        <v>317.7</v>
      </c>
      <c r="L128" s="22">
        <f>ROUND(0.04*235.08,0)*3.53*15</f>
        <v>476.55</v>
      </c>
      <c r="M128" s="22">
        <f>ROUND(0.04*314.17,0)*3.53*15</f>
        <v>688.35</v>
      </c>
      <c r="N128" s="22">
        <f>ROUND(0.04*430.83,0)*3.53*15</f>
        <v>900.15</v>
      </c>
      <c r="O128" s="22">
        <f>ROUND(0.04*492.08,0)*3.53*15</f>
        <v>1059</v>
      </c>
      <c r="P128" s="22">
        <f>ROUND(0.04*548.5,0)*3.53*15</f>
        <v>1164.8999999999999</v>
      </c>
      <c r="Q128" s="20">
        <f t="shared" si="2"/>
        <v>8166.15</v>
      </c>
    </row>
    <row r="129" spans="1:17" ht="12.75">
      <c r="A129" s="73">
        <f t="shared" si="3"/>
        <v>122</v>
      </c>
      <c r="B129" s="52" t="s">
        <v>623</v>
      </c>
      <c r="C129" s="9"/>
      <c r="D129" s="17">
        <v>12</v>
      </c>
      <c r="E129" s="20">
        <v>813.6</v>
      </c>
      <c r="F129" s="20">
        <v>650.88</v>
      </c>
      <c r="G129" s="20">
        <v>569.52</v>
      </c>
      <c r="H129" s="20">
        <v>406.8</v>
      </c>
      <c r="I129" s="20">
        <v>244.08</v>
      </c>
      <c r="J129" s="20">
        <v>149.16</v>
      </c>
      <c r="K129" s="22">
        <f>ROUND(0.04*143.25,0)*3.53*11</f>
        <v>232.98</v>
      </c>
      <c r="L129" s="22">
        <f>ROUND(0.04*235.08,0)*3.53*11</f>
        <v>349.46999999999997</v>
      </c>
      <c r="M129" s="22">
        <f>ROUND(0.04*314.17,0)*3.53*11</f>
        <v>504.79</v>
      </c>
      <c r="N129" s="22">
        <f>ROUND(0.04*430.83,0)*3.53*11</f>
        <v>660.11</v>
      </c>
      <c r="O129" s="22">
        <f>ROUND(0.04*492.08,0)*3.53*11</f>
        <v>776.5999999999999</v>
      </c>
      <c r="P129" s="22">
        <f>ROUND(0.04*548.5,0)*3.53*11</f>
        <v>854.26</v>
      </c>
      <c r="Q129" s="20">
        <f t="shared" si="2"/>
        <v>6212.25</v>
      </c>
    </row>
    <row r="130" spans="1:231" s="44" customFormat="1" ht="12.75">
      <c r="A130" s="73">
        <f t="shared" si="3"/>
        <v>123</v>
      </c>
      <c r="B130" s="52" t="s">
        <v>624</v>
      </c>
      <c r="C130" s="9"/>
      <c r="D130" s="17">
        <v>12</v>
      </c>
      <c r="E130" s="20">
        <v>813.6</v>
      </c>
      <c r="F130" s="20">
        <v>650.88</v>
      </c>
      <c r="G130" s="20">
        <v>569.52</v>
      </c>
      <c r="H130" s="20">
        <v>406.8</v>
      </c>
      <c r="I130" s="20">
        <v>244.08</v>
      </c>
      <c r="J130" s="20">
        <v>149.16</v>
      </c>
      <c r="K130" s="22">
        <f>ROUND(0.04*143.25,0)*3.53*11</f>
        <v>232.98</v>
      </c>
      <c r="L130" s="22">
        <f>ROUND(0.04*235.08,0)*3.53*11</f>
        <v>349.46999999999997</v>
      </c>
      <c r="M130" s="22">
        <f>ROUND(0.04*314.17,0)*3.53*11</f>
        <v>504.79</v>
      </c>
      <c r="N130" s="22">
        <f>ROUND(0.04*430.83,0)*3.53*11</f>
        <v>660.11</v>
      </c>
      <c r="O130" s="22">
        <f>ROUND(0.04*492.08,0)*3.53*11</f>
        <v>776.5999999999999</v>
      </c>
      <c r="P130" s="22">
        <f>ROUND(0.04*548.5,0)*3.53*11</f>
        <v>854.26</v>
      </c>
      <c r="Q130" s="20">
        <f t="shared" si="2"/>
        <v>6212.25</v>
      </c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</row>
    <row r="131" spans="1:17" ht="12.75">
      <c r="A131" s="73">
        <f t="shared" si="3"/>
        <v>124</v>
      </c>
      <c r="B131" s="52" t="s">
        <v>625</v>
      </c>
      <c r="C131" s="9"/>
      <c r="D131" s="17">
        <v>6</v>
      </c>
      <c r="E131" s="20">
        <v>406.8</v>
      </c>
      <c r="F131" s="20">
        <v>325.44</v>
      </c>
      <c r="G131" s="20">
        <v>284.76</v>
      </c>
      <c r="H131" s="20">
        <v>203.4</v>
      </c>
      <c r="I131" s="20">
        <v>122.04</v>
      </c>
      <c r="J131" s="20">
        <v>81.36</v>
      </c>
      <c r="K131" s="22">
        <f>ROUND(0.04*143.25,0)*3.53*6</f>
        <v>127.08</v>
      </c>
      <c r="L131" s="22">
        <f>ROUND(0.04*235.08,0)*3.53*6</f>
        <v>190.62</v>
      </c>
      <c r="M131" s="22">
        <f>ROUND(0.04*314.17,0)*3.53*6</f>
        <v>275.34000000000003</v>
      </c>
      <c r="N131" s="22">
        <f>ROUND(0.04*430.83,0)*3.53*6</f>
        <v>360.06</v>
      </c>
      <c r="O131" s="22">
        <f>ROUND(0.04*492.08,0)*3.53*6</f>
        <v>423.59999999999997</v>
      </c>
      <c r="P131" s="22">
        <f>ROUND(0.04*548.5,0)*3.53*6</f>
        <v>465.96</v>
      </c>
      <c r="Q131" s="20">
        <f t="shared" si="2"/>
        <v>3266.46</v>
      </c>
    </row>
    <row r="132" spans="1:17" ht="12.75">
      <c r="A132" s="73">
        <f t="shared" si="3"/>
        <v>125</v>
      </c>
      <c r="B132" s="52" t="s">
        <v>626</v>
      </c>
      <c r="C132" s="9"/>
      <c r="D132" s="17">
        <v>6</v>
      </c>
      <c r="E132" s="20">
        <v>406.8</v>
      </c>
      <c r="F132" s="20">
        <v>325.44</v>
      </c>
      <c r="G132" s="20">
        <v>284.76</v>
      </c>
      <c r="H132" s="20">
        <v>203.4</v>
      </c>
      <c r="I132" s="20">
        <v>122.04</v>
      </c>
      <c r="J132" s="20">
        <v>81.36</v>
      </c>
      <c r="K132" s="22">
        <f>ROUND(0.04*143.25,0)*3.53*6</f>
        <v>127.08</v>
      </c>
      <c r="L132" s="22">
        <f>ROUND(0.04*235.08,0)*3.53*6</f>
        <v>190.62</v>
      </c>
      <c r="M132" s="22">
        <f>ROUND(0.04*314.17,0)*3.53*6</f>
        <v>275.34000000000003</v>
      </c>
      <c r="N132" s="22">
        <f>ROUND(0.04*430.83,0)*3.53*6</f>
        <v>360.06</v>
      </c>
      <c r="O132" s="22">
        <f>ROUND(0.04*492.08,0)*3.53*6</f>
        <v>423.59999999999997</v>
      </c>
      <c r="P132" s="22">
        <f>ROUND(0.04*548.5,0)*3.53*6</f>
        <v>465.96</v>
      </c>
      <c r="Q132" s="20">
        <f t="shared" si="2"/>
        <v>3266.46</v>
      </c>
    </row>
    <row r="133" spans="1:231" s="44" customFormat="1" ht="12.75">
      <c r="A133" s="73">
        <f t="shared" si="3"/>
        <v>126</v>
      </c>
      <c r="B133" s="52" t="s">
        <v>627</v>
      </c>
      <c r="C133" s="9"/>
      <c r="D133" s="17">
        <v>15</v>
      </c>
      <c r="E133" s="20">
        <v>1017</v>
      </c>
      <c r="F133" s="20">
        <v>813.6</v>
      </c>
      <c r="G133" s="20">
        <v>711.9</v>
      </c>
      <c r="H133" s="20">
        <v>508.5</v>
      </c>
      <c r="I133" s="20">
        <v>305.1</v>
      </c>
      <c r="J133" s="20">
        <v>203.4</v>
      </c>
      <c r="K133" s="22">
        <f>ROUND(0.04*143.25,0)*3.53*15</f>
        <v>317.7</v>
      </c>
      <c r="L133" s="22">
        <f>ROUND(0.04*235.08,0)*3.53*15</f>
        <v>476.55</v>
      </c>
      <c r="M133" s="22">
        <f>ROUND(0.04*314.17,0)*3.53*15</f>
        <v>688.35</v>
      </c>
      <c r="N133" s="22">
        <f>ROUND(0.04*430.83,0)*3.53*15</f>
        <v>900.15</v>
      </c>
      <c r="O133" s="22">
        <f>ROUND(0.04*492.08,0)*3.53*15</f>
        <v>1059</v>
      </c>
      <c r="P133" s="22">
        <f>ROUND(0.04*548.5,0)*3.53*15</f>
        <v>1164.8999999999999</v>
      </c>
      <c r="Q133" s="20">
        <f t="shared" si="2"/>
        <v>8166.15</v>
      </c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</row>
    <row r="134" spans="1:17" ht="12.75">
      <c r="A134" s="73">
        <f t="shared" si="3"/>
        <v>127</v>
      </c>
      <c r="B134" s="9" t="s">
        <v>188</v>
      </c>
      <c r="C134" s="9">
        <v>21523</v>
      </c>
      <c r="D134" s="17">
        <v>3</v>
      </c>
      <c r="E134" s="20">
        <v>203.4</v>
      </c>
      <c r="F134" s="20">
        <v>162.72</v>
      </c>
      <c r="G134" s="20">
        <v>142.38</v>
      </c>
      <c r="H134" s="20">
        <v>101.7</v>
      </c>
      <c r="I134" s="20">
        <v>61.02</v>
      </c>
      <c r="J134" s="20">
        <v>40.68</v>
      </c>
      <c r="K134" s="22">
        <f>ROUND(0.04*143.25,0)*3.53*3</f>
        <v>63.54</v>
      </c>
      <c r="L134" s="22">
        <f>ROUND(0.04*235.08,0)*3.53*3</f>
        <v>95.31</v>
      </c>
      <c r="M134" s="22">
        <f>ROUND(0.04*314.17,0)*3.53*3</f>
        <v>137.67000000000002</v>
      </c>
      <c r="N134" s="22">
        <f>ROUND(0.04*430.83,0)*3.53*3</f>
        <v>180.03</v>
      </c>
      <c r="O134" s="22">
        <f>ROUND(0.04*492.08,0)*3.53*3</f>
        <v>211.79999999999998</v>
      </c>
      <c r="P134" s="22">
        <f>ROUND(0.04*548.5,0)*3.53*3</f>
        <v>232.98</v>
      </c>
      <c r="Q134" s="20">
        <f t="shared" si="2"/>
        <v>1633.23</v>
      </c>
    </row>
    <row r="135" spans="1:231" s="44" customFormat="1" ht="12.75">
      <c r="A135" s="73">
        <f t="shared" si="3"/>
        <v>128</v>
      </c>
      <c r="B135" s="9" t="s">
        <v>189</v>
      </c>
      <c r="C135" s="9">
        <v>21524</v>
      </c>
      <c r="D135" s="17">
        <v>3</v>
      </c>
      <c r="E135" s="20">
        <v>203.4</v>
      </c>
      <c r="F135" s="20">
        <v>162.72</v>
      </c>
      <c r="G135" s="20">
        <v>142.38</v>
      </c>
      <c r="H135" s="20">
        <v>101.7</v>
      </c>
      <c r="I135" s="20">
        <v>61.02</v>
      </c>
      <c r="J135" s="20">
        <v>40.68</v>
      </c>
      <c r="K135" s="22">
        <f>ROUND(0.04*143.25,0)*3.53*3</f>
        <v>63.54</v>
      </c>
      <c r="L135" s="22">
        <f>ROUND(0.04*235.08,0)*3.53*3</f>
        <v>95.31</v>
      </c>
      <c r="M135" s="22">
        <f>ROUND(0.04*314.17,0)*3.53*3</f>
        <v>137.67000000000002</v>
      </c>
      <c r="N135" s="22">
        <f>ROUND(0.04*430.83,0)*3.53*3</f>
        <v>180.03</v>
      </c>
      <c r="O135" s="22">
        <f>ROUND(0.04*492.08,0)*3.53*3</f>
        <v>211.79999999999998</v>
      </c>
      <c r="P135" s="22">
        <f>ROUND(0.04*548.5,0)*3.53*3</f>
        <v>232.98</v>
      </c>
      <c r="Q135" s="20">
        <f t="shared" si="2"/>
        <v>1633.23</v>
      </c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</row>
    <row r="136" spans="1:17" ht="12.75">
      <c r="A136" s="73">
        <f t="shared" si="3"/>
        <v>129</v>
      </c>
      <c r="B136" s="9" t="s">
        <v>190</v>
      </c>
      <c r="C136" s="9">
        <v>21525</v>
      </c>
      <c r="D136" s="17">
        <v>3</v>
      </c>
      <c r="E136" s="20">
        <v>203.4</v>
      </c>
      <c r="F136" s="20">
        <v>162.72</v>
      </c>
      <c r="G136" s="20">
        <v>142.38</v>
      </c>
      <c r="H136" s="20">
        <v>101.7</v>
      </c>
      <c r="I136" s="20">
        <v>61.02</v>
      </c>
      <c r="J136" s="20">
        <v>40.68</v>
      </c>
      <c r="K136" s="22">
        <f>ROUND(0.04*143.25,0)*3.53*3</f>
        <v>63.54</v>
      </c>
      <c r="L136" s="22">
        <f>ROUND(0.04*235.08,0)*3.53*3</f>
        <v>95.31</v>
      </c>
      <c r="M136" s="22">
        <f>ROUND(0.04*314.17,0)*3.53*3</f>
        <v>137.67000000000002</v>
      </c>
      <c r="N136" s="22">
        <f>ROUND(0.04*430.83,0)*3.53*3</f>
        <v>180.03</v>
      </c>
      <c r="O136" s="22">
        <f>ROUND(0.04*492.08,0)*3.53*3</f>
        <v>211.79999999999998</v>
      </c>
      <c r="P136" s="22">
        <f>ROUND(0.04*548.5,0)*3.53*3</f>
        <v>232.98</v>
      </c>
      <c r="Q136" s="20">
        <f t="shared" si="2"/>
        <v>1633.23</v>
      </c>
    </row>
    <row r="137" spans="1:17" ht="12.75">
      <c r="A137" s="73">
        <f t="shared" si="3"/>
        <v>130</v>
      </c>
      <c r="B137" s="9" t="s">
        <v>191</v>
      </c>
      <c r="C137" s="9">
        <v>21526</v>
      </c>
      <c r="D137" s="17">
        <v>3</v>
      </c>
      <c r="E137" s="20">
        <v>203.4</v>
      </c>
      <c r="F137" s="20">
        <v>162.72</v>
      </c>
      <c r="G137" s="20">
        <v>142.38</v>
      </c>
      <c r="H137" s="20">
        <v>101.7</v>
      </c>
      <c r="I137" s="20">
        <v>61.02</v>
      </c>
      <c r="J137" s="20">
        <v>40.68</v>
      </c>
      <c r="K137" s="22">
        <f>ROUND(0.04*143.25,0)*3.53*3</f>
        <v>63.54</v>
      </c>
      <c r="L137" s="22">
        <f>ROUND(0.04*235.08,0)*3.53*3</f>
        <v>95.31</v>
      </c>
      <c r="M137" s="22">
        <f>ROUND(0.04*314.17,0)*3.53*3</f>
        <v>137.67000000000002</v>
      </c>
      <c r="N137" s="22">
        <f>ROUND(0.04*430.83,0)*3.53*3</f>
        <v>180.03</v>
      </c>
      <c r="O137" s="22">
        <f>ROUND(0.04*492.08,0)*3.53*3</f>
        <v>211.79999999999998</v>
      </c>
      <c r="P137" s="22">
        <f>ROUND(0.04*548.5,0)*3.53*3</f>
        <v>232.98</v>
      </c>
      <c r="Q137" s="20">
        <f aca="true" t="shared" si="4" ref="Q137:Q174">E137+F137+G137+H137+I137+J137+K137+L137+M137+N137+O137+P137</f>
        <v>1633.23</v>
      </c>
    </row>
    <row r="138" spans="1:17" ht="12.75">
      <c r="A138" s="73">
        <f aca="true" t="shared" si="5" ref="A138:A201">A137+1</f>
        <v>131</v>
      </c>
      <c r="B138" s="9" t="s">
        <v>192</v>
      </c>
      <c r="C138" s="9">
        <v>12033</v>
      </c>
      <c r="D138" s="17">
        <v>0</v>
      </c>
      <c r="E138" s="21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2"/>
      <c r="L138" s="20"/>
      <c r="M138" s="20"/>
      <c r="N138" s="20"/>
      <c r="O138" s="20"/>
      <c r="P138" s="20"/>
      <c r="Q138" s="20">
        <f t="shared" si="4"/>
        <v>0</v>
      </c>
    </row>
    <row r="139" spans="1:17" ht="12.75">
      <c r="A139" s="73">
        <f t="shared" si="5"/>
        <v>132</v>
      </c>
      <c r="B139" s="9" t="s">
        <v>193</v>
      </c>
      <c r="C139" s="9">
        <v>12450</v>
      </c>
      <c r="D139" s="31" t="s">
        <v>588</v>
      </c>
      <c r="E139" s="20">
        <v>5957.7</v>
      </c>
      <c r="F139" s="20">
        <v>2762.32</v>
      </c>
      <c r="G139" s="20">
        <v>4979.62</v>
      </c>
      <c r="H139" s="20">
        <v>2969.97</v>
      </c>
      <c r="I139" s="20">
        <v>6404.54</v>
      </c>
      <c r="J139" s="20">
        <v>4649.71</v>
      </c>
      <c r="K139" s="22">
        <v>4089.77</v>
      </c>
      <c r="L139" s="20">
        <v>4143.07</v>
      </c>
      <c r="M139" s="20">
        <v>5124.65</v>
      </c>
      <c r="N139" s="20">
        <v>4363.42</v>
      </c>
      <c r="O139" s="20">
        <v>5608.68</v>
      </c>
      <c r="P139" s="20">
        <v>6271.82</v>
      </c>
      <c r="Q139" s="20">
        <f t="shared" si="4"/>
        <v>57325.27</v>
      </c>
    </row>
    <row r="140" spans="1:17" ht="12.75">
      <c r="A140" s="73">
        <f t="shared" si="5"/>
        <v>133</v>
      </c>
      <c r="B140" s="9" t="s">
        <v>194</v>
      </c>
      <c r="C140" s="9">
        <v>12608</v>
      </c>
      <c r="D140" s="31" t="s">
        <v>588</v>
      </c>
      <c r="E140" s="20">
        <v>4409.17</v>
      </c>
      <c r="F140" s="20">
        <v>3225.43</v>
      </c>
      <c r="G140" s="20">
        <v>3090.24</v>
      </c>
      <c r="H140" s="20">
        <v>3376.39</v>
      </c>
      <c r="I140" s="20">
        <v>2637.36</v>
      </c>
      <c r="J140" s="20">
        <v>2507.57</v>
      </c>
      <c r="K140" s="22">
        <v>2742.14</v>
      </c>
      <c r="L140" s="20">
        <v>2722.25</v>
      </c>
      <c r="M140" s="20">
        <v>3147.29</v>
      </c>
      <c r="N140" s="20">
        <v>3457.9</v>
      </c>
      <c r="O140" s="20">
        <v>3973.2</v>
      </c>
      <c r="P140" s="20">
        <v>4161.5</v>
      </c>
      <c r="Q140" s="20">
        <f t="shared" si="4"/>
        <v>39450.44</v>
      </c>
    </row>
    <row r="141" spans="1:17" ht="12.75">
      <c r="A141" s="73">
        <f t="shared" si="5"/>
        <v>134</v>
      </c>
      <c r="B141" s="9" t="s">
        <v>195</v>
      </c>
      <c r="C141" s="9">
        <v>12609</v>
      </c>
      <c r="D141" s="31" t="s">
        <v>588</v>
      </c>
      <c r="E141" s="20">
        <v>2446.05</v>
      </c>
      <c r="F141" s="20">
        <v>2268.45</v>
      </c>
      <c r="G141" s="20">
        <v>1914.67</v>
      </c>
      <c r="H141" s="20">
        <v>1984.29</v>
      </c>
      <c r="I141" s="20">
        <v>1601.81</v>
      </c>
      <c r="J141" s="20">
        <v>1758.24</v>
      </c>
      <c r="K141" s="22">
        <v>1688.78</v>
      </c>
      <c r="L141" s="20">
        <v>1628.38</v>
      </c>
      <c r="M141" s="20">
        <v>1892.79</v>
      </c>
      <c r="N141" s="20">
        <v>1803.94</v>
      </c>
      <c r="O141" s="20">
        <v>1986.6</v>
      </c>
      <c r="P141" s="20">
        <v>2339.86</v>
      </c>
      <c r="Q141" s="20">
        <f t="shared" si="4"/>
        <v>23313.859999999997</v>
      </c>
    </row>
    <row r="142" spans="1:231" s="44" customFormat="1" ht="12.75">
      <c r="A142" s="73">
        <f t="shared" si="5"/>
        <v>135</v>
      </c>
      <c r="B142" s="9" t="s">
        <v>196</v>
      </c>
      <c r="C142" s="9">
        <v>12610</v>
      </c>
      <c r="D142" s="31" t="s">
        <v>588</v>
      </c>
      <c r="E142" s="20">
        <v>4400.29</v>
      </c>
      <c r="F142" s="20">
        <v>1894.14</v>
      </c>
      <c r="G142" s="20">
        <v>2743.92</v>
      </c>
      <c r="H142" s="20">
        <v>2893.46</v>
      </c>
      <c r="I142" s="20">
        <v>2129.14</v>
      </c>
      <c r="J142" s="20">
        <v>2113.44</v>
      </c>
      <c r="K142" s="22">
        <v>1884.96</v>
      </c>
      <c r="L142" s="20">
        <v>1916.23</v>
      </c>
      <c r="M142" s="20">
        <v>2346.96</v>
      </c>
      <c r="N142" s="20">
        <v>2064.07</v>
      </c>
      <c r="O142" s="20">
        <v>2529.62</v>
      </c>
      <c r="P142" s="20">
        <v>2934.77</v>
      </c>
      <c r="Q142" s="20">
        <f t="shared" si="4"/>
        <v>29851</v>
      </c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</row>
    <row r="143" spans="1:17" ht="12.75">
      <c r="A143" s="73">
        <f t="shared" si="5"/>
        <v>136</v>
      </c>
      <c r="B143" s="9" t="s">
        <v>197</v>
      </c>
      <c r="C143" s="9">
        <v>12751</v>
      </c>
      <c r="D143" s="31" t="s">
        <v>588</v>
      </c>
      <c r="E143" s="20">
        <v>2793.72</v>
      </c>
      <c r="F143" s="20">
        <v>2357.25</v>
      </c>
      <c r="G143" s="20">
        <v>2323.15</v>
      </c>
      <c r="H143" s="20">
        <v>3225.43</v>
      </c>
      <c r="I143" s="20">
        <v>2660.59</v>
      </c>
      <c r="J143" s="20">
        <v>2939.28</v>
      </c>
      <c r="K143" s="22">
        <v>2642.64</v>
      </c>
      <c r="L143" s="20">
        <v>3126.67</v>
      </c>
      <c r="M143" s="20">
        <v>3522.58</v>
      </c>
      <c r="N143" s="20">
        <v>2806.82</v>
      </c>
      <c r="O143" s="20">
        <v>3766.37</v>
      </c>
      <c r="P143" s="20">
        <v>2642.64</v>
      </c>
      <c r="Q143" s="20">
        <f t="shared" si="4"/>
        <v>34807.14000000001</v>
      </c>
    </row>
    <row r="144" spans="1:17" ht="12.75">
      <c r="A144" s="73">
        <f t="shared" si="5"/>
        <v>137</v>
      </c>
      <c r="B144" s="9" t="s">
        <v>198</v>
      </c>
      <c r="C144" s="9">
        <v>21176</v>
      </c>
      <c r="D144" s="17">
        <v>2</v>
      </c>
      <c r="E144" s="20">
        <v>135.6</v>
      </c>
      <c r="F144" s="20">
        <v>108.48</v>
      </c>
      <c r="G144" s="20">
        <v>94.92</v>
      </c>
      <c r="H144" s="20">
        <v>67.8</v>
      </c>
      <c r="I144" s="22">
        <v>40.68</v>
      </c>
      <c r="J144" s="20">
        <v>27.12</v>
      </c>
      <c r="K144" s="22">
        <f>ROUND(0.04*143.25,0)*3.53*2</f>
        <v>42.36</v>
      </c>
      <c r="L144" s="22">
        <f>ROUND(0.04*235.08,0)*3.53*2</f>
        <v>63.54</v>
      </c>
      <c r="M144" s="22">
        <f>ROUND(0.04*314.17,0)*3.53*2</f>
        <v>91.78</v>
      </c>
      <c r="N144" s="22">
        <f>ROUND(0.04*430.83,0)*3.53*2</f>
        <v>120.02</v>
      </c>
      <c r="O144" s="22">
        <f>ROUND(0.04*492.08,0)*3.53*2</f>
        <v>141.2</v>
      </c>
      <c r="P144" s="22">
        <f>ROUND(0.04*548.5,0)*3.53*2</f>
        <v>155.32</v>
      </c>
      <c r="Q144" s="20">
        <f t="shared" si="4"/>
        <v>1088.82</v>
      </c>
    </row>
    <row r="145" spans="1:17" ht="12.75">
      <c r="A145" s="73">
        <f t="shared" si="5"/>
        <v>138</v>
      </c>
      <c r="B145" s="9" t="s">
        <v>199</v>
      </c>
      <c r="C145" s="9">
        <v>21184</v>
      </c>
      <c r="D145" s="17">
        <v>2</v>
      </c>
      <c r="E145" s="20">
        <v>135.6</v>
      </c>
      <c r="F145" s="20">
        <v>108.48</v>
      </c>
      <c r="G145" s="20">
        <v>94.92</v>
      </c>
      <c r="H145" s="20">
        <v>67.8</v>
      </c>
      <c r="I145" s="22">
        <v>40.68</v>
      </c>
      <c r="J145" s="20">
        <v>27.12</v>
      </c>
      <c r="K145" s="22">
        <f>ROUND(0.04*143.25,0)*3.53*2</f>
        <v>42.36</v>
      </c>
      <c r="L145" s="22">
        <f>ROUND(0.04*235.08,0)*3.53*2</f>
        <v>63.54</v>
      </c>
      <c r="M145" s="22">
        <f>ROUND(0.04*314.17,0)*3.53*2</f>
        <v>91.78</v>
      </c>
      <c r="N145" s="22">
        <f>ROUND(0.04*430.83,0)*3.53*2</f>
        <v>120.02</v>
      </c>
      <c r="O145" s="22">
        <f>ROUND(0.04*492.08,0)*3.53*2</f>
        <v>141.2</v>
      </c>
      <c r="P145" s="22">
        <f>ROUND(0.04*548.5,0)*3.53*2</f>
        <v>155.32</v>
      </c>
      <c r="Q145" s="20">
        <f t="shared" si="4"/>
        <v>1088.82</v>
      </c>
    </row>
    <row r="146" spans="1:231" s="44" customFormat="1" ht="12.75">
      <c r="A146" s="73">
        <f t="shared" si="5"/>
        <v>139</v>
      </c>
      <c r="B146" s="10" t="s">
        <v>200</v>
      </c>
      <c r="C146" s="10">
        <v>21188</v>
      </c>
      <c r="D146" s="45">
        <v>2</v>
      </c>
      <c r="E146" s="43">
        <v>135.6</v>
      </c>
      <c r="F146" s="43">
        <v>108.48</v>
      </c>
      <c r="G146" s="43">
        <v>94.92</v>
      </c>
      <c r="H146" s="43">
        <v>67.8</v>
      </c>
      <c r="I146" s="43">
        <v>40.68</v>
      </c>
      <c r="J146" s="43">
        <v>27.12</v>
      </c>
      <c r="K146" s="43">
        <f>ROUND(0.04*143.25,0)*3.53*2</f>
        <v>42.36</v>
      </c>
      <c r="L146" s="43">
        <f>ROUND(0.04*235.08,0)*3.53*2</f>
        <v>63.54</v>
      </c>
      <c r="M146" s="43"/>
      <c r="N146" s="43"/>
      <c r="O146" s="43"/>
      <c r="P146" s="43"/>
      <c r="Q146" s="43">
        <f t="shared" si="4"/>
        <v>580.5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</row>
    <row r="147" spans="1:17" ht="12.75">
      <c r="A147" s="73">
        <f t="shared" si="5"/>
        <v>140</v>
      </c>
      <c r="B147" s="9" t="s">
        <v>201</v>
      </c>
      <c r="C147" s="9">
        <v>21173</v>
      </c>
      <c r="D147" s="17">
        <v>5</v>
      </c>
      <c r="E147" s="20">
        <v>339</v>
      </c>
      <c r="F147" s="20">
        <v>271.2</v>
      </c>
      <c r="G147" s="20">
        <v>237.3</v>
      </c>
      <c r="H147" s="20">
        <v>169.5</v>
      </c>
      <c r="I147" s="20">
        <v>101.7</v>
      </c>
      <c r="J147" s="20">
        <v>67.8</v>
      </c>
      <c r="K147" s="22">
        <f>ROUND(0.04*143.25,0)*3.53*5</f>
        <v>105.9</v>
      </c>
      <c r="L147" s="22">
        <f>ROUND(0.04*235.08,0)*3.53*5</f>
        <v>158.85</v>
      </c>
      <c r="M147" s="22">
        <f>ROUND(0.04*314.17,0)*3.53*5</f>
        <v>229.45</v>
      </c>
      <c r="N147" s="22">
        <f>ROUND(0.04*430.83,0)*3.53*5</f>
        <v>300.05</v>
      </c>
      <c r="O147" s="22">
        <f>ROUND(0.04*492.08,0)*3.53*5</f>
        <v>353</v>
      </c>
      <c r="P147" s="22">
        <f>ROUND(0.04*548.5,0)*3.53*5</f>
        <v>388.29999999999995</v>
      </c>
      <c r="Q147" s="20">
        <f t="shared" si="4"/>
        <v>2722.05</v>
      </c>
    </row>
    <row r="148" spans="1:17" ht="12.75">
      <c r="A148" s="73">
        <f t="shared" si="5"/>
        <v>141</v>
      </c>
      <c r="B148" s="9" t="s">
        <v>202</v>
      </c>
      <c r="C148" s="9">
        <v>21833</v>
      </c>
      <c r="D148" s="17" t="s">
        <v>585</v>
      </c>
      <c r="E148" s="20">
        <v>6.78</v>
      </c>
      <c r="F148" s="20">
        <v>13.56</v>
      </c>
      <c r="G148" s="20">
        <v>13.56</v>
      </c>
      <c r="H148" s="20">
        <v>0</v>
      </c>
      <c r="I148" s="20">
        <v>0</v>
      </c>
      <c r="J148" s="20">
        <v>0</v>
      </c>
      <c r="K148" s="22">
        <v>0</v>
      </c>
      <c r="L148" s="20">
        <v>31.77</v>
      </c>
      <c r="M148" s="20">
        <v>0</v>
      </c>
      <c r="N148" s="20">
        <v>0</v>
      </c>
      <c r="O148" s="20">
        <v>0</v>
      </c>
      <c r="P148" s="20"/>
      <c r="Q148" s="20">
        <f t="shared" si="4"/>
        <v>65.67</v>
      </c>
    </row>
    <row r="149" spans="1:17" ht="12.75">
      <c r="A149" s="73">
        <f t="shared" si="5"/>
        <v>142</v>
      </c>
      <c r="B149" s="9" t="s">
        <v>203</v>
      </c>
      <c r="C149" s="9">
        <v>21174</v>
      </c>
      <c r="D149" s="17">
        <v>4</v>
      </c>
      <c r="E149" s="20">
        <v>271.2</v>
      </c>
      <c r="F149" s="20">
        <v>216.96</v>
      </c>
      <c r="G149" s="20">
        <v>189.84</v>
      </c>
      <c r="H149" s="20">
        <v>135.6</v>
      </c>
      <c r="I149" s="20">
        <v>81.36</v>
      </c>
      <c r="J149" s="20">
        <v>54.24</v>
      </c>
      <c r="K149" s="22">
        <f>ROUND(0.04*143.25,0)*3.53*4</f>
        <v>84.72</v>
      </c>
      <c r="L149" s="22">
        <f>ROUND(0.04*235.08,0)*3.53*4</f>
        <v>127.08</v>
      </c>
      <c r="M149" s="22">
        <f>ROUND(0.04*314.17,0)*3.53*4</f>
        <v>183.56</v>
      </c>
      <c r="N149" s="22">
        <f>ROUND(0.04*430.83,0)*3.53*4</f>
        <v>240.04</v>
      </c>
      <c r="O149" s="22">
        <f>ROUND(0.04*492.08,0)*3.53*4</f>
        <v>282.4</v>
      </c>
      <c r="P149" s="22">
        <f>ROUND(0.04*548.5,0)*3.53*4</f>
        <v>310.64</v>
      </c>
      <c r="Q149" s="20">
        <f t="shared" si="4"/>
        <v>2177.64</v>
      </c>
    </row>
    <row r="150" spans="1:17" ht="12.75">
      <c r="A150" s="73">
        <f t="shared" si="5"/>
        <v>143</v>
      </c>
      <c r="B150" s="10" t="s">
        <v>204</v>
      </c>
      <c r="C150" s="10">
        <v>11712</v>
      </c>
      <c r="D150" s="45" t="s">
        <v>584</v>
      </c>
      <c r="E150" s="46"/>
      <c r="F150" s="43"/>
      <c r="G150" s="43"/>
      <c r="H150" s="43"/>
      <c r="I150" s="43"/>
      <c r="J150" s="43"/>
      <c r="K150" s="43"/>
      <c r="L150" s="43"/>
      <c r="M150" s="46"/>
      <c r="N150" s="46"/>
      <c r="O150" s="46"/>
      <c r="P150" s="46"/>
      <c r="Q150" s="43">
        <f t="shared" si="4"/>
        <v>0</v>
      </c>
    </row>
    <row r="151" spans="1:17" ht="12.75">
      <c r="A151" s="73">
        <f t="shared" si="5"/>
        <v>144</v>
      </c>
      <c r="B151" s="9" t="s">
        <v>205</v>
      </c>
      <c r="C151" s="9">
        <v>11706</v>
      </c>
      <c r="D151" s="17">
        <v>3</v>
      </c>
      <c r="E151" s="20">
        <v>203.4</v>
      </c>
      <c r="F151" s="20">
        <v>162.72</v>
      </c>
      <c r="G151" s="20">
        <v>142.38</v>
      </c>
      <c r="H151" s="20">
        <v>101.7</v>
      </c>
      <c r="I151" s="20">
        <v>61.02</v>
      </c>
      <c r="J151" s="20">
        <v>40.68</v>
      </c>
      <c r="K151" s="22">
        <f>ROUND(0.04*143.25,0)*3.53*3</f>
        <v>63.54</v>
      </c>
      <c r="L151" s="22">
        <f>ROUND(0.04*235.08,0)*3.53*3</f>
        <v>95.31</v>
      </c>
      <c r="M151" s="22">
        <f>ROUND(0.04*314.17,0)*3.53*3</f>
        <v>137.67000000000002</v>
      </c>
      <c r="N151" s="22">
        <f>ROUND(0.04*430.83,0)*3.53*3</f>
        <v>180.03</v>
      </c>
      <c r="O151" s="22">
        <f>ROUND(0.04*492.08,0)*3.53*3</f>
        <v>211.79999999999998</v>
      </c>
      <c r="P151" s="22">
        <f>ROUND(0.04*548.5,0)*3.53*3</f>
        <v>232.98</v>
      </c>
      <c r="Q151" s="20">
        <f t="shared" si="4"/>
        <v>1633.23</v>
      </c>
    </row>
    <row r="152" spans="1:17" ht="12.75">
      <c r="A152" s="73">
        <f t="shared" si="5"/>
        <v>145</v>
      </c>
      <c r="B152" s="9" t="s">
        <v>206</v>
      </c>
      <c r="C152" s="9">
        <v>21196</v>
      </c>
      <c r="D152" s="17" t="s">
        <v>585</v>
      </c>
      <c r="E152" s="20">
        <v>267.11</v>
      </c>
      <c r="F152" s="20">
        <v>282.81</v>
      </c>
      <c r="G152" s="20">
        <v>230.88</v>
      </c>
      <c r="H152" s="20">
        <v>8.24</v>
      </c>
      <c r="I152" s="20">
        <v>142.79</v>
      </c>
      <c r="J152" s="20">
        <v>121.62</v>
      </c>
      <c r="K152" s="22">
        <v>100.96</v>
      </c>
      <c r="L152" s="20">
        <v>81.07</v>
      </c>
      <c r="M152" s="20">
        <v>222.54</v>
      </c>
      <c r="N152" s="20">
        <v>227.5</v>
      </c>
      <c r="O152" s="20">
        <v>146.43</v>
      </c>
      <c r="P152" s="20">
        <v>198.32</v>
      </c>
      <c r="Q152" s="20">
        <f t="shared" si="4"/>
        <v>2030.27</v>
      </c>
    </row>
    <row r="153" spans="1:17" ht="12.75">
      <c r="A153" s="73">
        <f t="shared" si="5"/>
        <v>146</v>
      </c>
      <c r="B153" s="10" t="s">
        <v>207</v>
      </c>
      <c r="C153" s="10">
        <v>21197</v>
      </c>
      <c r="D153" s="45">
        <v>3</v>
      </c>
      <c r="E153" s="43">
        <v>203.4</v>
      </c>
      <c r="F153" s="43">
        <v>162.72</v>
      </c>
      <c r="G153" s="43">
        <v>142.38</v>
      </c>
      <c r="H153" s="43">
        <v>101.7</v>
      </c>
      <c r="I153" s="43">
        <v>61.02</v>
      </c>
      <c r="J153" s="43">
        <v>40.68</v>
      </c>
      <c r="K153" s="43">
        <f>ROUND(0.04*143.25,0)*3.53*3</f>
        <v>63.54</v>
      </c>
      <c r="L153" s="43">
        <f>ROUND(0.04*235.08,0)*3.53*3</f>
        <v>95.31</v>
      </c>
      <c r="M153" s="43">
        <f>ROUND(0.04*314.17,0)*3.53*3</f>
        <v>137.67000000000002</v>
      </c>
      <c r="N153" s="43">
        <f>ROUND(0.04*430.83,0)*3.53*3</f>
        <v>180.03</v>
      </c>
      <c r="O153" s="43">
        <f>ROUND(0.04*492.08,0)*3.53*3</f>
        <v>211.79999999999998</v>
      </c>
      <c r="P153" s="43">
        <f>ROUND(0.04*548.5,0)*3.53*3</f>
        <v>232.98</v>
      </c>
      <c r="Q153" s="43">
        <f t="shared" si="4"/>
        <v>1633.23</v>
      </c>
    </row>
    <row r="154" spans="1:17" ht="12.75">
      <c r="A154" s="73">
        <f t="shared" si="5"/>
        <v>147</v>
      </c>
      <c r="B154" s="9" t="s">
        <v>208</v>
      </c>
      <c r="C154" s="9">
        <v>12041</v>
      </c>
      <c r="D154" s="17">
        <v>3</v>
      </c>
      <c r="E154" s="20">
        <v>203.4</v>
      </c>
      <c r="F154" s="20">
        <v>162.72</v>
      </c>
      <c r="G154" s="20">
        <v>142.38</v>
      </c>
      <c r="H154" s="20">
        <v>101.7</v>
      </c>
      <c r="I154" s="20">
        <v>61.02</v>
      </c>
      <c r="J154" s="20">
        <v>40.68</v>
      </c>
      <c r="K154" s="22">
        <f>ROUND(0.04*143.25,0)*3.53*3</f>
        <v>63.54</v>
      </c>
      <c r="L154" s="22">
        <f>ROUND(0.04*235.08,0)*3.53*3</f>
        <v>95.31</v>
      </c>
      <c r="M154" s="22">
        <f>ROUND(0.04*314.17,0)*3.53*3</f>
        <v>137.67000000000002</v>
      </c>
      <c r="N154" s="22">
        <f>ROUND(0.04*430.83,0)*3.53*3</f>
        <v>180.03</v>
      </c>
      <c r="O154" s="22">
        <f>ROUND(0.04*492.08,0)*3.53*3</f>
        <v>211.79999999999998</v>
      </c>
      <c r="P154" s="22">
        <f>ROUND(0.04*548.5,0)*3.53*3</f>
        <v>232.98</v>
      </c>
      <c r="Q154" s="20">
        <f t="shared" si="4"/>
        <v>1633.23</v>
      </c>
    </row>
    <row r="155" spans="1:17" ht="12.75">
      <c r="A155" s="73">
        <f t="shared" si="5"/>
        <v>148</v>
      </c>
      <c r="B155" s="9" t="s">
        <v>209</v>
      </c>
      <c r="C155" s="9">
        <v>12042</v>
      </c>
      <c r="D155" s="17">
        <v>14</v>
      </c>
      <c r="E155" s="20">
        <v>949.2</v>
      </c>
      <c r="F155" s="20">
        <v>759.36</v>
      </c>
      <c r="G155" s="20">
        <v>664.44</v>
      </c>
      <c r="H155" s="20">
        <v>474.6</v>
      </c>
      <c r="I155" s="20">
        <v>284.76</v>
      </c>
      <c r="J155" s="20">
        <v>189.84</v>
      </c>
      <c r="K155" s="22">
        <f>ROUND(0.04*143.25,0)*3.53*14</f>
        <v>296.52</v>
      </c>
      <c r="L155" s="22">
        <f>ROUND(0.04*235.08,0)*3.53*14</f>
        <v>444.78</v>
      </c>
      <c r="M155" s="22">
        <f>ROUND(0.04*314.17,0)*3.53*14</f>
        <v>642.46</v>
      </c>
      <c r="N155" s="22">
        <f>ROUND(0.04*430.83,0)*3.53*14</f>
        <v>840.14</v>
      </c>
      <c r="O155" s="22">
        <f>ROUND(0.04*492.08,0)*3.53*14</f>
        <v>988.3999999999999</v>
      </c>
      <c r="P155" s="22">
        <f>ROUND(0.04*548.5,0)*3.53*14</f>
        <v>1087.24</v>
      </c>
      <c r="Q155" s="20">
        <f t="shared" si="4"/>
        <v>7621.74</v>
      </c>
    </row>
    <row r="156" spans="1:17" ht="12.75">
      <c r="A156" s="73">
        <f t="shared" si="5"/>
        <v>149</v>
      </c>
      <c r="B156" s="10" t="s">
        <v>210</v>
      </c>
      <c r="C156" s="10">
        <v>12049</v>
      </c>
      <c r="D156" s="45" t="s">
        <v>584</v>
      </c>
      <c r="E156" s="46"/>
      <c r="F156" s="43"/>
      <c r="G156" s="43"/>
      <c r="H156" s="43"/>
      <c r="I156" s="43"/>
      <c r="J156" s="43"/>
      <c r="K156" s="43"/>
      <c r="L156" s="43"/>
      <c r="M156" s="46"/>
      <c r="N156" s="46"/>
      <c r="O156" s="46"/>
      <c r="P156" s="46"/>
      <c r="Q156" s="43">
        <f t="shared" si="4"/>
        <v>0</v>
      </c>
    </row>
    <row r="157" spans="1:17" ht="12.75">
      <c r="A157" s="73">
        <f t="shared" si="5"/>
        <v>150</v>
      </c>
      <c r="B157" s="9" t="s">
        <v>211</v>
      </c>
      <c r="C157" s="9">
        <v>12050</v>
      </c>
      <c r="D157" s="17">
        <v>10</v>
      </c>
      <c r="E157" s="20">
        <v>678</v>
      </c>
      <c r="F157" s="20">
        <v>542.4</v>
      </c>
      <c r="G157" s="20">
        <v>474.6</v>
      </c>
      <c r="H157" s="20">
        <v>339</v>
      </c>
      <c r="I157" s="20">
        <v>203.4</v>
      </c>
      <c r="J157" s="20">
        <v>135.6</v>
      </c>
      <c r="K157" s="22">
        <f>ROUND(0.04*143.25,0)*3.53*10</f>
        <v>211.8</v>
      </c>
      <c r="L157" s="22">
        <f>ROUND(0.04*235.08,0)*3.53*10</f>
        <v>317.7</v>
      </c>
      <c r="M157" s="22">
        <f>ROUND(0.04*314.17,0)*3.53*10</f>
        <v>458.9</v>
      </c>
      <c r="N157" s="22">
        <f>ROUND(0.04*430.83,0)*3.53*10</f>
        <v>600.1</v>
      </c>
      <c r="O157" s="22">
        <f>ROUND(0.04*492.08,0)*3.53*10</f>
        <v>706</v>
      </c>
      <c r="P157" s="22">
        <f>ROUND(0.04*548.5,0)*3.53*10</f>
        <v>776.5999999999999</v>
      </c>
      <c r="Q157" s="20">
        <f t="shared" si="4"/>
        <v>5444.1</v>
      </c>
    </row>
    <row r="158" spans="1:17" ht="12.75">
      <c r="A158" s="73">
        <f t="shared" si="5"/>
        <v>151</v>
      </c>
      <c r="B158" s="9" t="s">
        <v>212</v>
      </c>
      <c r="C158" s="9">
        <v>12038</v>
      </c>
      <c r="D158" s="17">
        <v>4</v>
      </c>
      <c r="E158" s="20">
        <v>271.2</v>
      </c>
      <c r="F158" s="20">
        <v>216.96</v>
      </c>
      <c r="G158" s="20">
        <v>189.84</v>
      </c>
      <c r="H158" s="20">
        <v>135.6</v>
      </c>
      <c r="I158" s="20">
        <v>81.36</v>
      </c>
      <c r="J158" s="20">
        <v>54.24</v>
      </c>
      <c r="K158" s="22">
        <f>ROUND(0.04*143.25,0)*3.53*4</f>
        <v>84.72</v>
      </c>
      <c r="L158" s="22">
        <f>ROUND(0.04*235.08,0)*3.53*4</f>
        <v>127.08</v>
      </c>
      <c r="M158" s="22">
        <f>ROUND(0.04*314.17,0)*3.53*4</f>
        <v>183.56</v>
      </c>
      <c r="N158" s="22">
        <f>ROUND(0.04*430.83,0)*3.53*4</f>
        <v>240.04</v>
      </c>
      <c r="O158" s="22">
        <f>ROUND(0.04*492.08,0)*3.53*4</f>
        <v>282.4</v>
      </c>
      <c r="P158" s="22">
        <f>ROUND(0.04*548.5,0)*3.53*4</f>
        <v>310.64</v>
      </c>
      <c r="Q158" s="20">
        <f t="shared" si="4"/>
        <v>2177.64</v>
      </c>
    </row>
    <row r="159" spans="1:17" ht="12.75">
      <c r="A159" s="73">
        <f t="shared" si="5"/>
        <v>152</v>
      </c>
      <c r="B159" s="9" t="s">
        <v>213</v>
      </c>
      <c r="C159" s="9">
        <v>12052</v>
      </c>
      <c r="D159" s="17">
        <v>15</v>
      </c>
      <c r="E159" s="20">
        <v>1017</v>
      </c>
      <c r="F159" s="20">
        <v>813.6</v>
      </c>
      <c r="G159" s="20">
        <v>711.9</v>
      </c>
      <c r="H159" s="20">
        <v>508.5</v>
      </c>
      <c r="I159" s="20">
        <v>305.1</v>
      </c>
      <c r="J159" s="20">
        <v>203.4</v>
      </c>
      <c r="K159" s="22">
        <f>ROUND(0.04*143.25,0)*3.53*15</f>
        <v>317.7</v>
      </c>
      <c r="L159" s="22">
        <f>ROUND(0.04*235.08,0)*3.53*15</f>
        <v>476.55</v>
      </c>
      <c r="M159" s="22">
        <f>ROUND(0.04*314.17,0)*3.53*15</f>
        <v>688.35</v>
      </c>
      <c r="N159" s="22">
        <f>ROUND(0.04*430.83,0)*3.53*15</f>
        <v>900.15</v>
      </c>
      <c r="O159" s="22">
        <f>ROUND(0.04*492.08,0)*3.53*15</f>
        <v>1059</v>
      </c>
      <c r="P159" s="22">
        <f>ROUND(0.04*548.5,0)*3.53*15</f>
        <v>1164.8999999999999</v>
      </c>
      <c r="Q159" s="20">
        <f t="shared" si="4"/>
        <v>8166.15</v>
      </c>
    </row>
    <row r="160" spans="1:17" ht="12.75">
      <c r="A160" s="73">
        <f t="shared" si="5"/>
        <v>153</v>
      </c>
      <c r="B160" s="47" t="s">
        <v>601</v>
      </c>
      <c r="C160" s="10"/>
      <c r="D160" s="45">
        <v>4</v>
      </c>
      <c r="E160" s="43">
        <v>271.2</v>
      </c>
      <c r="F160" s="43">
        <v>216.96</v>
      </c>
      <c r="G160" s="43">
        <v>189.84</v>
      </c>
      <c r="H160" s="43">
        <v>135.6</v>
      </c>
      <c r="I160" s="43">
        <v>81.36</v>
      </c>
      <c r="J160" s="43">
        <v>54.24</v>
      </c>
      <c r="K160" s="43">
        <f>ROUND(0.04*143.25,0)*3.53*4</f>
        <v>84.72</v>
      </c>
      <c r="L160" s="43">
        <f>ROUND(0.04*235.08,0)*3.53*4</f>
        <v>127.08</v>
      </c>
      <c r="M160" s="43">
        <f>ROUND(0.04*314.17,0)*3.53*4</f>
        <v>183.56</v>
      </c>
      <c r="N160" s="43">
        <f>ROUND(0.04*430.83,0)*3.53*4</f>
        <v>240.04</v>
      </c>
      <c r="O160" s="43">
        <f>ROUND(0.04*492.08,0)*3.53*4</f>
        <v>282.4</v>
      </c>
      <c r="P160" s="43">
        <f>ROUND(0.04*548.5,0)*3.53*4</f>
        <v>310.64</v>
      </c>
      <c r="Q160" s="43">
        <f t="shared" si="4"/>
        <v>2177.64</v>
      </c>
    </row>
    <row r="161" spans="1:17" ht="12.75">
      <c r="A161" s="73">
        <f t="shared" si="5"/>
        <v>154</v>
      </c>
      <c r="B161" s="9" t="s">
        <v>214</v>
      </c>
      <c r="C161" s="9">
        <v>21352</v>
      </c>
      <c r="D161" s="17" t="s">
        <v>585</v>
      </c>
      <c r="E161" s="20">
        <v>9046.36</v>
      </c>
      <c r="F161" s="20">
        <v>9581.86</v>
      </c>
      <c r="G161" s="20">
        <v>9466.49</v>
      </c>
      <c r="H161" s="20">
        <v>2756.61</v>
      </c>
      <c r="I161" s="20">
        <v>7504.64</v>
      </c>
      <c r="J161" s="20">
        <v>5299.71</v>
      </c>
      <c r="K161" s="22">
        <v>6870.5</v>
      </c>
      <c r="L161" s="20">
        <v>4846.26</v>
      </c>
      <c r="M161" s="20">
        <v>7098.75</v>
      </c>
      <c r="N161" s="20">
        <v>7704.79</v>
      </c>
      <c r="O161" s="20">
        <v>7591.7</v>
      </c>
      <c r="P161" s="20">
        <v>9744.42</v>
      </c>
      <c r="Q161" s="20">
        <f t="shared" si="4"/>
        <v>87512.09</v>
      </c>
    </row>
    <row r="162" spans="1:17" ht="12.75">
      <c r="A162" s="73">
        <f t="shared" si="5"/>
        <v>155</v>
      </c>
      <c r="B162" s="9" t="s">
        <v>215</v>
      </c>
      <c r="C162" s="9">
        <v>21103</v>
      </c>
      <c r="D162" s="31" t="s">
        <v>588</v>
      </c>
      <c r="E162" s="20">
        <v>2899.86</v>
      </c>
      <c r="F162" s="20">
        <v>1028.46</v>
      </c>
      <c r="G162" s="20">
        <v>2909.52</v>
      </c>
      <c r="H162" s="20">
        <v>1654.11</v>
      </c>
      <c r="I162" s="20">
        <v>2286.29</v>
      </c>
      <c r="J162" s="20">
        <v>2045.75</v>
      </c>
      <c r="K162" s="22">
        <v>2776.99</v>
      </c>
      <c r="L162" s="20">
        <v>2062.94</v>
      </c>
      <c r="M162" s="20">
        <v>2967.1</v>
      </c>
      <c r="N162" s="20">
        <v>2851.94</v>
      </c>
      <c r="O162" s="20">
        <v>2202.62</v>
      </c>
      <c r="P162" s="20">
        <v>2994.87</v>
      </c>
      <c r="Q162" s="20">
        <f t="shared" si="4"/>
        <v>28680.449999999997</v>
      </c>
    </row>
    <row r="163" spans="1:17" ht="12.75">
      <c r="A163" s="73">
        <f t="shared" si="5"/>
        <v>156</v>
      </c>
      <c r="B163" s="9" t="s">
        <v>216</v>
      </c>
      <c r="C163" s="9">
        <v>21104</v>
      </c>
      <c r="D163" s="17" t="s">
        <v>585</v>
      </c>
      <c r="E163" s="20">
        <v>552.76</v>
      </c>
      <c r="F163" s="20">
        <v>473.05</v>
      </c>
      <c r="G163" s="20">
        <v>434.76</v>
      </c>
      <c r="H163" s="20">
        <v>96.11</v>
      </c>
      <c r="I163" s="20">
        <v>261.56</v>
      </c>
      <c r="J163" s="20">
        <v>231.44</v>
      </c>
      <c r="K163" s="22">
        <v>260.73</v>
      </c>
      <c r="L163" s="20">
        <v>187.97</v>
      </c>
      <c r="M163" s="20">
        <v>334.45</v>
      </c>
      <c r="N163" s="20">
        <v>385.51</v>
      </c>
      <c r="O163" s="20">
        <v>413.81</v>
      </c>
      <c r="P163" s="20">
        <v>572.2</v>
      </c>
      <c r="Q163" s="20">
        <f t="shared" si="4"/>
        <v>4204.349999999999</v>
      </c>
    </row>
    <row r="164" spans="1:231" s="44" customFormat="1" ht="12.75">
      <c r="A164" s="73">
        <f t="shared" si="5"/>
        <v>157</v>
      </c>
      <c r="B164" s="9" t="s">
        <v>217</v>
      </c>
      <c r="C164" s="9">
        <v>21105</v>
      </c>
      <c r="D164" s="17" t="s">
        <v>585</v>
      </c>
      <c r="E164" s="20">
        <v>353.85</v>
      </c>
      <c r="F164" s="20">
        <v>176.25</v>
      </c>
      <c r="G164" s="20">
        <v>157.07</v>
      </c>
      <c r="H164" s="20">
        <v>138.1</v>
      </c>
      <c r="I164" s="20">
        <v>222.78</v>
      </c>
      <c r="J164" s="20">
        <v>165.31</v>
      </c>
      <c r="K164" s="22">
        <v>142.88</v>
      </c>
      <c r="L164" s="20">
        <v>108.06</v>
      </c>
      <c r="M164" s="20">
        <v>233.92</v>
      </c>
      <c r="N164" s="20">
        <v>305.7</v>
      </c>
      <c r="O164" s="20">
        <v>272.97</v>
      </c>
      <c r="P164" s="20">
        <v>386.67</v>
      </c>
      <c r="Q164" s="20">
        <f t="shared" si="4"/>
        <v>2663.5600000000004</v>
      </c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</row>
    <row r="165" spans="1:17" ht="12.75">
      <c r="A165" s="73">
        <f t="shared" si="5"/>
        <v>158</v>
      </c>
      <c r="B165" s="9" t="s">
        <v>218</v>
      </c>
      <c r="C165" s="9">
        <v>21106</v>
      </c>
      <c r="D165" s="17" t="s">
        <v>585</v>
      </c>
      <c r="E165" s="20">
        <v>386.67</v>
      </c>
      <c r="F165" s="20">
        <v>361.45</v>
      </c>
      <c r="G165" s="20">
        <v>353.92</v>
      </c>
      <c r="H165" s="20">
        <v>84.96</v>
      </c>
      <c r="I165" s="20">
        <v>209.14</v>
      </c>
      <c r="J165" s="20">
        <v>187.97</v>
      </c>
      <c r="K165" s="22">
        <v>248.17</v>
      </c>
      <c r="L165" s="20">
        <v>162.82</v>
      </c>
      <c r="M165" s="20">
        <v>269.52</v>
      </c>
      <c r="N165" s="20">
        <v>384.68</v>
      </c>
      <c r="O165" s="20">
        <v>377.53</v>
      </c>
      <c r="P165" s="20">
        <v>496.92</v>
      </c>
      <c r="Q165" s="20">
        <f t="shared" si="4"/>
        <v>3523.75</v>
      </c>
    </row>
    <row r="166" spans="1:231" s="44" customFormat="1" ht="12.75">
      <c r="A166" s="73">
        <f t="shared" si="5"/>
        <v>159</v>
      </c>
      <c r="B166" s="9" t="s">
        <v>219</v>
      </c>
      <c r="C166" s="9">
        <v>21107</v>
      </c>
      <c r="D166" s="17" t="s">
        <v>585</v>
      </c>
      <c r="E166" s="20">
        <v>931.12</v>
      </c>
      <c r="F166" s="20">
        <v>1211.09</v>
      </c>
      <c r="G166" s="20">
        <v>1187.93</v>
      </c>
      <c r="H166" s="20">
        <v>9.59</v>
      </c>
      <c r="I166" s="20">
        <v>144.13</v>
      </c>
      <c r="J166" s="20">
        <v>491.31</v>
      </c>
      <c r="K166" s="22">
        <v>551.78</v>
      </c>
      <c r="L166" s="20">
        <v>437.35</v>
      </c>
      <c r="M166" s="20">
        <v>595.79</v>
      </c>
      <c r="N166" s="20">
        <v>621.37</v>
      </c>
      <c r="O166" s="20">
        <v>641.21</v>
      </c>
      <c r="P166" s="20">
        <v>786.18</v>
      </c>
      <c r="Q166" s="20">
        <f t="shared" si="4"/>
        <v>7608.850000000001</v>
      </c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</row>
    <row r="167" spans="1:17" ht="12.75">
      <c r="A167" s="73">
        <f t="shared" si="5"/>
        <v>160</v>
      </c>
      <c r="B167" s="10" t="s">
        <v>220</v>
      </c>
      <c r="C167" s="10">
        <v>31021</v>
      </c>
      <c r="D167" s="45" t="s">
        <v>591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>
        <f t="shared" si="4"/>
        <v>0</v>
      </c>
    </row>
    <row r="168" spans="1:231" s="44" customFormat="1" ht="12.75">
      <c r="A168" s="73">
        <f t="shared" si="5"/>
        <v>161</v>
      </c>
      <c r="B168" s="9" t="s">
        <v>221</v>
      </c>
      <c r="C168" s="9">
        <v>21108</v>
      </c>
      <c r="D168" s="31" t="s">
        <v>588</v>
      </c>
      <c r="E168" s="20">
        <v>1805.56</v>
      </c>
      <c r="F168" s="20">
        <v>805.25</v>
      </c>
      <c r="G168" s="20">
        <v>2146.48</v>
      </c>
      <c r="H168" s="20">
        <v>1292.72</v>
      </c>
      <c r="I168" s="20">
        <v>1639.32</v>
      </c>
      <c r="J168" s="20">
        <v>231.44</v>
      </c>
      <c r="K168" s="22">
        <v>2172.89</v>
      </c>
      <c r="L168" s="20">
        <v>1781.46</v>
      </c>
      <c r="M168" s="20">
        <v>2070.72</v>
      </c>
      <c r="N168" s="20">
        <v>1754.57</v>
      </c>
      <c r="O168" s="20">
        <v>1667.96</v>
      </c>
      <c r="P168" s="20">
        <v>2493.77</v>
      </c>
      <c r="Q168" s="20">
        <f t="shared" si="4"/>
        <v>19862.14</v>
      </c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</row>
    <row r="169" spans="1:17" ht="12.75">
      <c r="A169" s="73">
        <f t="shared" si="5"/>
        <v>162</v>
      </c>
      <c r="B169" s="9" t="s">
        <v>222</v>
      </c>
      <c r="C169" s="9">
        <v>21109</v>
      </c>
      <c r="D169" s="31" t="s">
        <v>588</v>
      </c>
      <c r="E169" s="20">
        <v>2159.2</v>
      </c>
      <c r="F169" s="20">
        <v>1097.37</v>
      </c>
      <c r="G169" s="20">
        <v>3270.91</v>
      </c>
      <c r="H169" s="20">
        <v>1939.26</v>
      </c>
      <c r="I169" s="20">
        <v>3150.14</v>
      </c>
      <c r="J169" s="20">
        <v>2810</v>
      </c>
      <c r="K169" s="22">
        <v>2982.36</v>
      </c>
      <c r="L169" s="20">
        <v>1907.12</v>
      </c>
      <c r="M169" s="20">
        <v>2408.7</v>
      </c>
      <c r="N169" s="20">
        <v>2147.94</v>
      </c>
      <c r="O169" s="20">
        <v>1811.17</v>
      </c>
      <c r="P169" s="20">
        <v>2178.53</v>
      </c>
      <c r="Q169" s="20">
        <f t="shared" si="4"/>
        <v>27862.699999999997</v>
      </c>
    </row>
    <row r="170" spans="1:231" s="44" customFormat="1" ht="12.75">
      <c r="A170" s="73">
        <f t="shared" si="5"/>
        <v>163</v>
      </c>
      <c r="B170" s="9" t="s">
        <v>223</v>
      </c>
      <c r="C170" s="9">
        <v>21110</v>
      </c>
      <c r="D170" s="31" t="s">
        <v>588</v>
      </c>
      <c r="E170" s="20">
        <v>2420.13</v>
      </c>
      <c r="F170" s="20">
        <v>1136.94</v>
      </c>
      <c r="G170" s="20">
        <v>2256.67</v>
      </c>
      <c r="H170" s="20">
        <v>1784.82</v>
      </c>
      <c r="I170" s="20">
        <v>1947.86</v>
      </c>
      <c r="J170" s="20">
        <v>1885.7</v>
      </c>
      <c r="K170" s="22">
        <v>2590.58</v>
      </c>
      <c r="L170" s="20">
        <v>1893.55</v>
      </c>
      <c r="M170" s="20">
        <v>2473.43</v>
      </c>
      <c r="N170" s="20">
        <v>2348.55</v>
      </c>
      <c r="O170" s="20">
        <v>2043</v>
      </c>
      <c r="P170" s="20">
        <v>2367.66</v>
      </c>
      <c r="Q170" s="20">
        <f t="shared" si="4"/>
        <v>25148.89</v>
      </c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</row>
    <row r="171" spans="1:17" ht="12.75">
      <c r="A171" s="73">
        <f t="shared" si="5"/>
        <v>164</v>
      </c>
      <c r="B171" s="9" t="s">
        <v>224</v>
      </c>
      <c r="C171" s="9">
        <v>21100</v>
      </c>
      <c r="D171" s="31" t="s">
        <v>588</v>
      </c>
      <c r="E171" s="20">
        <v>2751.89</v>
      </c>
      <c r="F171" s="20">
        <v>1013.19</v>
      </c>
      <c r="G171" s="20">
        <v>3073.49</v>
      </c>
      <c r="H171" s="20">
        <v>1278.73</v>
      </c>
      <c r="I171" s="20">
        <v>2296.81</v>
      </c>
      <c r="J171" s="20">
        <v>2059.32</v>
      </c>
      <c r="K171" s="22">
        <v>2815.99</v>
      </c>
      <c r="L171" s="20">
        <v>2025.1</v>
      </c>
      <c r="M171" s="20">
        <v>2764.93</v>
      </c>
      <c r="N171" s="20">
        <v>2415.32</v>
      </c>
      <c r="O171" s="20">
        <v>2043.73</v>
      </c>
      <c r="P171" s="20">
        <v>2755.74</v>
      </c>
      <c r="Q171" s="20">
        <f t="shared" si="4"/>
        <v>27294.239999999998</v>
      </c>
    </row>
    <row r="172" spans="1:231" s="44" customFormat="1" ht="12.75">
      <c r="A172" s="73">
        <f t="shared" si="5"/>
        <v>165</v>
      </c>
      <c r="B172" s="9" t="s">
        <v>225</v>
      </c>
      <c r="C172" s="9">
        <v>21101</v>
      </c>
      <c r="D172" s="17" t="s">
        <v>585</v>
      </c>
      <c r="E172" s="20">
        <v>8351.87</v>
      </c>
      <c r="F172" s="20">
        <v>8231.45</v>
      </c>
      <c r="G172" s="20">
        <v>8171.99</v>
      </c>
      <c r="H172" s="20">
        <v>2520.12</v>
      </c>
      <c r="I172" s="20">
        <v>7203.29</v>
      </c>
      <c r="J172" s="20">
        <v>4914.04</v>
      </c>
      <c r="K172" s="22">
        <v>4798.3</v>
      </c>
      <c r="L172" s="20">
        <v>4326.58</v>
      </c>
      <c r="M172" s="20">
        <v>5813.94</v>
      </c>
      <c r="N172" s="20">
        <v>6562.91</v>
      </c>
      <c r="O172" s="20">
        <v>5957.73</v>
      </c>
      <c r="P172" s="20">
        <v>7737.45</v>
      </c>
      <c r="Q172" s="20">
        <f t="shared" si="4"/>
        <v>74589.67</v>
      </c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</row>
    <row r="173" spans="1:17" ht="12.75">
      <c r="A173" s="73">
        <f t="shared" si="5"/>
        <v>166</v>
      </c>
      <c r="B173" s="9" t="s">
        <v>226</v>
      </c>
      <c r="C173" s="9">
        <v>21102</v>
      </c>
      <c r="D173" s="17" t="s">
        <v>585</v>
      </c>
      <c r="E173" s="20">
        <v>634.1</v>
      </c>
      <c r="F173" s="20">
        <v>613.71</v>
      </c>
      <c r="G173" s="20">
        <v>548.07</v>
      </c>
      <c r="H173" s="20">
        <v>63.79</v>
      </c>
      <c r="I173" s="20">
        <v>287.07</v>
      </c>
      <c r="J173" s="20">
        <v>208.43</v>
      </c>
      <c r="K173" s="22">
        <v>199.83</v>
      </c>
      <c r="L173" s="20">
        <v>182.13</v>
      </c>
      <c r="M173" s="20">
        <v>435.94</v>
      </c>
      <c r="N173" s="20">
        <v>396.11</v>
      </c>
      <c r="O173" s="20">
        <v>411.52</v>
      </c>
      <c r="P173" s="20">
        <v>424.36</v>
      </c>
      <c r="Q173" s="20">
        <f t="shared" si="4"/>
        <v>4405.06</v>
      </c>
    </row>
    <row r="174" spans="1:17" ht="12.75">
      <c r="A174" s="73">
        <f t="shared" si="5"/>
        <v>167</v>
      </c>
      <c r="B174" s="10" t="s">
        <v>227</v>
      </c>
      <c r="C174" s="10">
        <v>21207</v>
      </c>
      <c r="D174" s="45">
        <v>1</v>
      </c>
      <c r="E174" s="46">
        <v>67.8</v>
      </c>
      <c r="F174" s="43">
        <v>54.24</v>
      </c>
      <c r="G174" s="43">
        <v>47.46</v>
      </c>
      <c r="H174" s="43">
        <v>33.9</v>
      </c>
      <c r="I174" s="43">
        <v>20.34</v>
      </c>
      <c r="J174" s="43">
        <v>13.56</v>
      </c>
      <c r="K174" s="43">
        <f>ROUND(0.04*143.25,0)*3.53</f>
        <v>21.18</v>
      </c>
      <c r="L174" s="43">
        <f>ROUND(0.04*235.08,0)*3.53</f>
        <v>31.77</v>
      </c>
      <c r="M174" s="43">
        <f>ROUND(0.04*314.17,0)*3.53</f>
        <v>45.89</v>
      </c>
      <c r="N174" s="43">
        <f>ROUND(0.04*430.83,0)*3.53</f>
        <v>60.01</v>
      </c>
      <c r="O174" s="43">
        <f>ROUND(0.04*492.08,0)*3.53</f>
        <v>70.6</v>
      </c>
      <c r="P174" s="43">
        <f>ROUND(0.04*548.5,0)*3.53</f>
        <v>77.66</v>
      </c>
      <c r="Q174" s="43">
        <f t="shared" si="4"/>
        <v>544.41</v>
      </c>
    </row>
    <row r="175" spans="1:17" ht="12.75">
      <c r="A175" s="73">
        <f t="shared" si="5"/>
        <v>168</v>
      </c>
      <c r="B175" s="27" t="s">
        <v>228</v>
      </c>
      <c r="C175" s="9">
        <v>21530</v>
      </c>
      <c r="D175" s="26" t="s">
        <v>583</v>
      </c>
      <c r="E175" s="21">
        <v>22559.6</v>
      </c>
      <c r="F175" s="20">
        <v>19925.4</v>
      </c>
      <c r="G175" s="20">
        <v>15856.2</v>
      </c>
      <c r="H175" s="20">
        <v>16703</v>
      </c>
      <c r="I175" s="20">
        <v>16021</v>
      </c>
      <c r="J175" s="20">
        <v>13972.2</v>
      </c>
      <c r="K175" s="22">
        <v>18178.4</v>
      </c>
      <c r="L175" s="20">
        <v>9991.8</v>
      </c>
      <c r="M175" s="20">
        <v>14100.2</v>
      </c>
      <c r="N175" s="20">
        <v>12507</v>
      </c>
      <c r="O175" s="20">
        <v>14353</v>
      </c>
      <c r="P175" s="20">
        <v>18630.6</v>
      </c>
      <c r="Q175" s="20">
        <f>E175+F175+G175+H175+I188+J175+K175+L175+M175+N175+O175+P175</f>
        <v>195871.6</v>
      </c>
    </row>
    <row r="176" spans="1:17" ht="12.75">
      <c r="A176" s="73">
        <f t="shared" si="5"/>
        <v>169</v>
      </c>
      <c r="B176" s="27" t="s">
        <v>229</v>
      </c>
      <c r="C176" s="9">
        <v>21531</v>
      </c>
      <c r="D176" s="26" t="s">
        <v>583</v>
      </c>
      <c r="E176" s="21">
        <v>47682.4</v>
      </c>
      <c r="F176" s="20">
        <v>22230</v>
      </c>
      <c r="G176" s="20">
        <v>18067</v>
      </c>
      <c r="H176" s="20">
        <v>18013</v>
      </c>
      <c r="I176" s="22">
        <v>15637.4</v>
      </c>
      <c r="J176" s="20">
        <v>13547.4</v>
      </c>
      <c r="K176" s="22">
        <v>18219.2</v>
      </c>
      <c r="L176" s="20">
        <v>13799.6</v>
      </c>
      <c r="M176" s="20">
        <v>19385.4</v>
      </c>
      <c r="N176" s="20">
        <v>17564.6</v>
      </c>
      <c r="O176" s="20">
        <v>19311.4</v>
      </c>
      <c r="P176" s="20">
        <v>24811.6</v>
      </c>
      <c r="Q176" s="20">
        <f>E176+F176+G176+H176+I189+J176+K176+L176+M176+N176+O176+P176</f>
        <v>249635.80000000002</v>
      </c>
    </row>
    <row r="177" spans="1:231" s="44" customFormat="1" ht="12.75">
      <c r="A177" s="73">
        <f t="shared" si="5"/>
        <v>170</v>
      </c>
      <c r="B177" s="27" t="s">
        <v>230</v>
      </c>
      <c r="C177" s="9">
        <v>21532</v>
      </c>
      <c r="D177" s="26" t="s">
        <v>583</v>
      </c>
      <c r="E177" s="21">
        <v>25429.6</v>
      </c>
      <c r="F177" s="20">
        <v>22671.8</v>
      </c>
      <c r="G177" s="20">
        <v>17932</v>
      </c>
      <c r="H177" s="20">
        <v>18190.6</v>
      </c>
      <c r="I177" s="22">
        <v>17781.4</v>
      </c>
      <c r="J177" s="20">
        <v>15843.4</v>
      </c>
      <c r="K177" s="22">
        <v>22329.6</v>
      </c>
      <c r="L177" s="20">
        <v>15463.8</v>
      </c>
      <c r="M177" s="20">
        <v>21645.8</v>
      </c>
      <c r="N177" s="20">
        <v>18802.8</v>
      </c>
      <c r="O177" s="20">
        <v>21969.6</v>
      </c>
      <c r="P177" s="20">
        <v>21346.2</v>
      </c>
      <c r="Q177" s="20">
        <f>E177+F177+G177+H177+I175+J177+K177+L177+M177+N177+O177+P177</f>
        <v>237646.19999999998</v>
      </c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</row>
    <row r="178" spans="1:17" ht="12.75">
      <c r="A178" s="73">
        <f t="shared" si="5"/>
        <v>171</v>
      </c>
      <c r="B178" s="27" t="s">
        <v>231</v>
      </c>
      <c r="C178" s="9">
        <v>21533</v>
      </c>
      <c r="D178" s="26" t="s">
        <v>583</v>
      </c>
      <c r="E178" s="20">
        <v>9846.2</v>
      </c>
      <c r="F178" s="20">
        <v>8644.2</v>
      </c>
      <c r="G178" s="20">
        <v>6855.4</v>
      </c>
      <c r="H178" s="20">
        <v>7551.6</v>
      </c>
      <c r="I178" s="20">
        <v>7811.6</v>
      </c>
      <c r="J178" s="20">
        <v>5941.8</v>
      </c>
      <c r="K178" s="22">
        <v>7334.6</v>
      </c>
      <c r="L178" s="20">
        <v>5330</v>
      </c>
      <c r="M178" s="20">
        <v>8457</v>
      </c>
      <c r="N178" s="20">
        <v>6437.8</v>
      </c>
      <c r="O178" s="20">
        <v>7786.8</v>
      </c>
      <c r="P178" s="20">
        <v>9251.6</v>
      </c>
      <c r="Q178" s="20">
        <f aca="true" t="shared" si="6" ref="Q178:Q241">E178+F178+G178+H178+I178+J178+K178+L178+M178+N178+O178+P178</f>
        <v>91248.6</v>
      </c>
    </row>
    <row r="179" spans="1:17" ht="12.75">
      <c r="A179" s="73">
        <f t="shared" si="5"/>
        <v>172</v>
      </c>
      <c r="B179" s="27" t="s">
        <v>232</v>
      </c>
      <c r="C179" s="9">
        <v>21534</v>
      </c>
      <c r="D179" s="26" t="s">
        <v>583</v>
      </c>
      <c r="E179" s="20">
        <v>10553.8</v>
      </c>
      <c r="F179" s="20">
        <v>8206.6</v>
      </c>
      <c r="G179" s="20">
        <v>6882.4</v>
      </c>
      <c r="H179" s="20">
        <v>7551.6</v>
      </c>
      <c r="I179" s="20">
        <v>7224.8</v>
      </c>
      <c r="J179" s="20">
        <v>6734.6</v>
      </c>
      <c r="K179" s="22">
        <v>8826.6</v>
      </c>
      <c r="L179" s="20">
        <v>5927.2</v>
      </c>
      <c r="M179" s="20">
        <v>9423.8</v>
      </c>
      <c r="N179" s="20">
        <v>7432.8</v>
      </c>
      <c r="O179" s="20">
        <v>8384</v>
      </c>
      <c r="P179" s="20">
        <v>8797.4</v>
      </c>
      <c r="Q179" s="20">
        <f t="shared" si="6"/>
        <v>95945.59999999999</v>
      </c>
    </row>
    <row r="180" spans="1:17" ht="12.75">
      <c r="A180" s="73">
        <f t="shared" si="5"/>
        <v>173</v>
      </c>
      <c r="B180" s="27" t="s">
        <v>233</v>
      </c>
      <c r="C180" s="9">
        <v>21535</v>
      </c>
      <c r="D180" s="26" t="s">
        <v>583</v>
      </c>
      <c r="E180" s="20">
        <v>11333.8</v>
      </c>
      <c r="F180" s="20">
        <v>12605.4</v>
      </c>
      <c r="G180" s="20">
        <v>8138.4</v>
      </c>
      <c r="H180" s="20">
        <v>8357.2</v>
      </c>
      <c r="I180" s="20">
        <v>8725.2</v>
      </c>
      <c r="J180" s="20">
        <v>8549</v>
      </c>
      <c r="K180" s="22">
        <v>12081</v>
      </c>
      <c r="L180" s="20">
        <v>7589.4</v>
      </c>
      <c r="M180" s="20">
        <v>13445.6</v>
      </c>
      <c r="N180" s="20">
        <v>9408.2</v>
      </c>
      <c r="O180" s="20">
        <v>9152.4</v>
      </c>
      <c r="P180" s="20">
        <v>9776.8</v>
      </c>
      <c r="Q180" s="20">
        <f t="shared" si="6"/>
        <v>119162.4</v>
      </c>
    </row>
    <row r="181" spans="1:17" ht="12.75">
      <c r="A181" s="73">
        <f t="shared" si="5"/>
        <v>174</v>
      </c>
      <c r="B181" s="27" t="s">
        <v>234</v>
      </c>
      <c r="C181" s="9">
        <v>21536</v>
      </c>
      <c r="D181" s="26" t="s">
        <v>583</v>
      </c>
      <c r="E181" s="20">
        <v>8301.8</v>
      </c>
      <c r="F181" s="20">
        <v>6963.4</v>
      </c>
      <c r="G181" s="20">
        <v>6035.6</v>
      </c>
      <c r="H181" s="20">
        <v>6459</v>
      </c>
      <c r="I181" s="20">
        <v>6091</v>
      </c>
      <c r="J181" s="20">
        <v>5832.4</v>
      </c>
      <c r="K181" s="22">
        <v>8684.6</v>
      </c>
      <c r="L181" s="20">
        <v>5912.6</v>
      </c>
      <c r="M181" s="20">
        <v>10518</v>
      </c>
      <c r="N181" s="20">
        <v>7830.6</v>
      </c>
      <c r="O181" s="20">
        <v>9719.4</v>
      </c>
      <c r="P181" s="20">
        <v>6892</v>
      </c>
      <c r="Q181" s="20">
        <f t="shared" si="6"/>
        <v>89240.4</v>
      </c>
    </row>
    <row r="182" spans="1:17" ht="12.75">
      <c r="A182" s="73">
        <f t="shared" si="5"/>
        <v>175</v>
      </c>
      <c r="B182" s="27" t="s">
        <v>235</v>
      </c>
      <c r="C182" s="9">
        <v>21537</v>
      </c>
      <c r="D182" s="26" t="s">
        <v>583</v>
      </c>
      <c r="E182" s="20">
        <v>12891</v>
      </c>
      <c r="F182" s="20">
        <v>10815.2</v>
      </c>
      <c r="G182" s="20">
        <v>5834.8</v>
      </c>
      <c r="H182" s="20">
        <v>9272.2</v>
      </c>
      <c r="I182" s="20">
        <v>12026.8</v>
      </c>
      <c r="J182" s="20">
        <v>6575.6</v>
      </c>
      <c r="K182" s="22">
        <v>8108.6</v>
      </c>
      <c r="L182" s="20">
        <v>6264.6</v>
      </c>
      <c r="M182" s="20">
        <v>8935.4</v>
      </c>
      <c r="N182" s="20">
        <v>9293.4</v>
      </c>
      <c r="O182" s="20">
        <v>12686.8</v>
      </c>
      <c r="P182" s="20">
        <v>9862.4</v>
      </c>
      <c r="Q182" s="20">
        <f t="shared" si="6"/>
        <v>112566.79999999999</v>
      </c>
    </row>
    <row r="183" spans="1:17" ht="12.75">
      <c r="A183" s="73">
        <f t="shared" si="5"/>
        <v>176</v>
      </c>
      <c r="B183" s="27" t="s">
        <v>236</v>
      </c>
      <c r="C183" s="9">
        <v>21538</v>
      </c>
      <c r="D183" s="26" t="s">
        <v>583</v>
      </c>
      <c r="E183" s="20">
        <v>26192.6</v>
      </c>
      <c r="F183" s="20">
        <v>21755.4</v>
      </c>
      <c r="G183" s="20">
        <v>16852.2</v>
      </c>
      <c r="H183" s="20">
        <v>17645</v>
      </c>
      <c r="I183" s="20">
        <v>17591</v>
      </c>
      <c r="J183" s="20">
        <v>15050.6</v>
      </c>
      <c r="K183" s="22">
        <v>21845.2</v>
      </c>
      <c r="L183" s="20">
        <v>14752.8</v>
      </c>
      <c r="M183" s="20">
        <v>21973.6</v>
      </c>
      <c r="N183" s="20">
        <v>20877.4</v>
      </c>
      <c r="O183" s="20">
        <v>22624.2</v>
      </c>
      <c r="P183" s="20">
        <v>22384</v>
      </c>
      <c r="Q183" s="20">
        <f t="shared" si="6"/>
        <v>239544</v>
      </c>
    </row>
    <row r="184" spans="1:17" ht="12.75">
      <c r="A184" s="73">
        <f t="shared" si="5"/>
        <v>177</v>
      </c>
      <c r="B184" s="27" t="s">
        <v>237</v>
      </c>
      <c r="C184" s="9">
        <v>21539</v>
      </c>
      <c r="D184" s="26" t="s">
        <v>583</v>
      </c>
      <c r="E184" s="21">
        <v>18750.4</v>
      </c>
      <c r="F184" s="20">
        <v>17578.2</v>
      </c>
      <c r="G184" s="20">
        <v>16664.6</v>
      </c>
      <c r="H184" s="20">
        <v>17866.6</v>
      </c>
      <c r="I184" s="20">
        <v>16310.8</v>
      </c>
      <c r="J184" s="20">
        <v>13932.4</v>
      </c>
      <c r="K184" s="22">
        <v>20694.6</v>
      </c>
      <c r="L184" s="20">
        <v>20438.8</v>
      </c>
      <c r="M184" s="20">
        <v>12369</v>
      </c>
      <c r="N184" s="20">
        <v>13999</v>
      </c>
      <c r="O184" s="20">
        <v>17208.6</v>
      </c>
      <c r="P184" s="20">
        <v>17623</v>
      </c>
      <c r="Q184" s="20">
        <f t="shared" si="6"/>
        <v>203436</v>
      </c>
    </row>
    <row r="185" spans="1:17" ht="12.75">
      <c r="A185" s="73">
        <f t="shared" si="5"/>
        <v>178</v>
      </c>
      <c r="B185" s="27" t="s">
        <v>238</v>
      </c>
      <c r="C185" s="9">
        <v>21540</v>
      </c>
      <c r="D185" s="26" t="s">
        <v>583</v>
      </c>
      <c r="E185" s="20">
        <v>33774</v>
      </c>
      <c r="F185" s="20">
        <v>29416.4</v>
      </c>
      <c r="G185" s="20">
        <v>24200.6</v>
      </c>
      <c r="H185" s="20">
        <v>25566</v>
      </c>
      <c r="I185" s="20">
        <v>23886.6</v>
      </c>
      <c r="J185" s="20">
        <v>20309</v>
      </c>
      <c r="K185" s="22">
        <v>28099.2</v>
      </c>
      <c r="L185" s="20">
        <v>18845.6</v>
      </c>
      <c r="M185" s="20">
        <v>30827.4</v>
      </c>
      <c r="N185" s="20">
        <v>27215</v>
      </c>
      <c r="O185" s="20">
        <v>29217.6</v>
      </c>
      <c r="P185" s="20">
        <v>30483</v>
      </c>
      <c r="Q185" s="20">
        <f t="shared" si="6"/>
        <v>321840.4</v>
      </c>
    </row>
    <row r="186" spans="1:17" ht="12.75">
      <c r="A186" s="73">
        <f t="shared" si="5"/>
        <v>179</v>
      </c>
      <c r="B186" s="27" t="s">
        <v>239</v>
      </c>
      <c r="C186" s="9">
        <v>21541</v>
      </c>
      <c r="D186" s="26" t="s">
        <v>583</v>
      </c>
      <c r="E186" s="20">
        <v>25482.2</v>
      </c>
      <c r="F186" s="20">
        <v>22451.6</v>
      </c>
      <c r="G186" s="20">
        <v>17194.6</v>
      </c>
      <c r="H186" s="20">
        <v>18342.6</v>
      </c>
      <c r="I186" s="20">
        <v>18315.6</v>
      </c>
      <c r="J186" s="20">
        <v>17045.4</v>
      </c>
      <c r="K186" s="22">
        <v>22755.6</v>
      </c>
      <c r="L186" s="20">
        <v>16132</v>
      </c>
      <c r="M186" s="20">
        <v>22912.2</v>
      </c>
      <c r="N186" s="20">
        <v>22328.6</v>
      </c>
      <c r="O186" s="20">
        <v>24288.4</v>
      </c>
      <c r="P186" s="20">
        <v>23150.4</v>
      </c>
      <c r="Q186" s="20">
        <f t="shared" si="6"/>
        <v>250399.2</v>
      </c>
    </row>
    <row r="187" spans="1:17" ht="12.75">
      <c r="A187" s="73">
        <f t="shared" si="5"/>
        <v>180</v>
      </c>
      <c r="B187" s="27" t="s">
        <v>240</v>
      </c>
      <c r="C187" s="9">
        <v>21542</v>
      </c>
      <c r="D187" s="26" t="s">
        <v>583</v>
      </c>
      <c r="E187" s="20">
        <v>35807.2</v>
      </c>
      <c r="F187" s="20">
        <v>30783.2</v>
      </c>
      <c r="G187" s="20">
        <v>20553.4</v>
      </c>
      <c r="H187" s="20">
        <v>21141.6</v>
      </c>
      <c r="I187" s="20">
        <v>20036.2</v>
      </c>
      <c r="J187" s="20">
        <v>16607.8</v>
      </c>
      <c r="K187" s="22">
        <v>22244</v>
      </c>
      <c r="L187" s="20">
        <v>15094.2</v>
      </c>
      <c r="M187" s="20">
        <v>23295.4</v>
      </c>
      <c r="N187" s="20">
        <v>21076.8</v>
      </c>
      <c r="O187" s="20">
        <v>23448</v>
      </c>
      <c r="P187" s="20">
        <v>30839</v>
      </c>
      <c r="Q187" s="20">
        <f t="shared" si="6"/>
        <v>280926.8</v>
      </c>
    </row>
    <row r="188" spans="1:17" ht="12.75">
      <c r="A188" s="73">
        <f t="shared" si="5"/>
        <v>181</v>
      </c>
      <c r="B188" s="27" t="s">
        <v>241</v>
      </c>
      <c r="C188" s="9">
        <v>21528</v>
      </c>
      <c r="D188" s="26" t="s">
        <v>583</v>
      </c>
      <c r="E188" s="21">
        <v>27475.6</v>
      </c>
      <c r="F188" s="20">
        <v>25020.4</v>
      </c>
      <c r="G188" s="20">
        <v>18943.6</v>
      </c>
      <c r="H188" s="20">
        <v>20213.8</v>
      </c>
      <c r="I188" s="20">
        <v>19094.2</v>
      </c>
      <c r="J188" s="20">
        <v>16362</v>
      </c>
      <c r="K188" s="22">
        <v>20950.4</v>
      </c>
      <c r="L188" s="20">
        <v>14510.6</v>
      </c>
      <c r="M188" s="20">
        <v>22102</v>
      </c>
      <c r="N188" s="20">
        <v>20693.8</v>
      </c>
      <c r="O188" s="20">
        <v>21943.4</v>
      </c>
      <c r="P188" s="20">
        <v>24627.8</v>
      </c>
      <c r="Q188" s="20">
        <f t="shared" si="6"/>
        <v>251937.59999999998</v>
      </c>
    </row>
    <row r="189" spans="1:17" ht="12.75">
      <c r="A189" s="73">
        <f t="shared" si="5"/>
        <v>182</v>
      </c>
      <c r="B189" s="27" t="s">
        <v>242</v>
      </c>
      <c r="C189" s="9">
        <v>21529</v>
      </c>
      <c r="D189" s="26" t="s">
        <v>583</v>
      </c>
      <c r="E189" s="21">
        <v>24183.6</v>
      </c>
      <c r="F189" s="20">
        <v>20566.2</v>
      </c>
      <c r="G189" s="20">
        <v>16784</v>
      </c>
      <c r="H189" s="20">
        <v>18258.8</v>
      </c>
      <c r="I189" s="20">
        <v>17004.2</v>
      </c>
      <c r="J189" s="20">
        <v>13507.6</v>
      </c>
      <c r="K189" s="22">
        <v>20112</v>
      </c>
      <c r="L189" s="20">
        <v>12904.8</v>
      </c>
      <c r="M189" s="20">
        <v>19116</v>
      </c>
      <c r="N189" s="20">
        <v>16712.6</v>
      </c>
      <c r="O189" s="20">
        <v>19070.2</v>
      </c>
      <c r="P189" s="20">
        <v>21586.4</v>
      </c>
      <c r="Q189" s="20">
        <f t="shared" si="6"/>
        <v>219806.40000000002</v>
      </c>
    </row>
    <row r="190" spans="1:17" ht="12.75">
      <c r="A190" s="73">
        <f t="shared" si="5"/>
        <v>183</v>
      </c>
      <c r="B190" s="9" t="s">
        <v>243</v>
      </c>
      <c r="C190" s="9">
        <v>21367</v>
      </c>
      <c r="D190" s="17">
        <v>4</v>
      </c>
      <c r="E190" s="20">
        <v>271.2</v>
      </c>
      <c r="F190" s="20">
        <v>216.96</v>
      </c>
      <c r="G190" s="20">
        <v>189.84</v>
      </c>
      <c r="H190" s="20">
        <v>135.6</v>
      </c>
      <c r="I190" s="20">
        <v>81.36</v>
      </c>
      <c r="J190" s="20">
        <v>54.24</v>
      </c>
      <c r="K190" s="22">
        <f>ROUND(0.04*143.25,0)*3.53*4</f>
        <v>84.72</v>
      </c>
      <c r="L190" s="22">
        <f>ROUND(0.04*235.08,0)*3.53*4</f>
        <v>127.08</v>
      </c>
      <c r="M190" s="22">
        <f>ROUND(0.04*314.17,0)*3.53*4</f>
        <v>183.56</v>
      </c>
      <c r="N190" s="22">
        <f>ROUND(0.04*430.83,0)*3.53*4</f>
        <v>240.04</v>
      </c>
      <c r="O190" s="22">
        <f>ROUND(0.04*492.08,0)*3.53*4</f>
        <v>282.4</v>
      </c>
      <c r="P190" s="22">
        <f>ROUND(0.04*548.5,0)*3.53*4</f>
        <v>310.64</v>
      </c>
      <c r="Q190" s="20">
        <f t="shared" si="6"/>
        <v>2177.64</v>
      </c>
    </row>
    <row r="191" spans="1:17" ht="12.75">
      <c r="A191" s="73">
        <f t="shared" si="5"/>
        <v>184</v>
      </c>
      <c r="B191" s="9" t="s">
        <v>244</v>
      </c>
      <c r="C191" s="9">
        <v>21371</v>
      </c>
      <c r="D191" s="17">
        <v>3</v>
      </c>
      <c r="E191" s="20">
        <v>203.4</v>
      </c>
      <c r="F191" s="20">
        <v>162.72</v>
      </c>
      <c r="G191" s="20">
        <v>142.38</v>
      </c>
      <c r="H191" s="20">
        <v>101.7</v>
      </c>
      <c r="I191" s="20">
        <v>61.02</v>
      </c>
      <c r="J191" s="20">
        <v>40.68</v>
      </c>
      <c r="K191" s="22">
        <f>ROUND(0.04*143.25,0)*3.53*3</f>
        <v>63.54</v>
      </c>
      <c r="L191" s="22">
        <f>ROUND(0.04*235.08,0)*3.53*3</f>
        <v>95.31</v>
      </c>
      <c r="M191" s="22">
        <f>ROUND(0.04*314.17,0)*3.53*3</f>
        <v>137.67000000000002</v>
      </c>
      <c r="N191" s="22">
        <f>ROUND(0.04*430.83,0)*3.53*3</f>
        <v>180.03</v>
      </c>
      <c r="O191" s="22">
        <f>ROUND(0.04*492.08,0)*3.53*3</f>
        <v>211.79999999999998</v>
      </c>
      <c r="P191" s="22">
        <f>ROUND(0.04*548.5,0)*3.53*3</f>
        <v>232.98</v>
      </c>
      <c r="Q191" s="20">
        <f t="shared" si="6"/>
        <v>1633.23</v>
      </c>
    </row>
    <row r="192" spans="1:17" ht="12.75">
      <c r="A192" s="73">
        <f t="shared" si="5"/>
        <v>185</v>
      </c>
      <c r="B192" s="47" t="s">
        <v>602</v>
      </c>
      <c r="C192" s="10"/>
      <c r="D192" s="45">
        <v>3</v>
      </c>
      <c r="E192" s="43">
        <v>203.4</v>
      </c>
      <c r="F192" s="43">
        <v>162.72</v>
      </c>
      <c r="G192" s="43">
        <v>142.38</v>
      </c>
      <c r="H192" s="43">
        <v>101.7</v>
      </c>
      <c r="I192" s="43">
        <v>61.02</v>
      </c>
      <c r="J192" s="43">
        <v>40.68</v>
      </c>
      <c r="K192" s="43">
        <f>ROUND(0.04*143.25,0)*3.53*3</f>
        <v>63.54</v>
      </c>
      <c r="L192" s="43">
        <f>ROUND(0.04*235.08,0)*3.53*3</f>
        <v>95.31</v>
      </c>
      <c r="M192" s="43">
        <f>ROUND(0.04*314.17,0)*3.53*3</f>
        <v>137.67000000000002</v>
      </c>
      <c r="N192" s="43">
        <f>ROUND(0.04*430.83,0)*3.53*3</f>
        <v>180.03</v>
      </c>
      <c r="O192" s="43">
        <f>ROUND(0.04*492.08,0)*3.53*3</f>
        <v>211.79999999999998</v>
      </c>
      <c r="P192" s="43">
        <f>ROUND(0.04*548.5,0)*3.53*3</f>
        <v>232.98</v>
      </c>
      <c r="Q192" s="43">
        <f t="shared" si="6"/>
        <v>1633.23</v>
      </c>
    </row>
    <row r="193" spans="1:17" ht="12.75">
      <c r="A193" s="73">
        <f t="shared" si="5"/>
        <v>186</v>
      </c>
      <c r="B193" s="9" t="s">
        <v>245</v>
      </c>
      <c r="C193" s="9">
        <v>12219</v>
      </c>
      <c r="D193" s="17" t="s">
        <v>585</v>
      </c>
      <c r="E193" s="20">
        <v>222</v>
      </c>
      <c r="F193" s="20">
        <v>129.15</v>
      </c>
      <c r="G193" s="20">
        <v>148.26</v>
      </c>
      <c r="H193" s="20">
        <v>130.5</v>
      </c>
      <c r="I193" s="20">
        <v>69.69</v>
      </c>
      <c r="J193" s="20">
        <v>13</v>
      </c>
      <c r="K193" s="22">
        <v>0</v>
      </c>
      <c r="L193" s="20">
        <v>3.55</v>
      </c>
      <c r="M193" s="20">
        <v>123.72</v>
      </c>
      <c r="N193" s="20">
        <v>0</v>
      </c>
      <c r="O193" s="20">
        <v>187.62</v>
      </c>
      <c r="P193" s="20">
        <v>262.27</v>
      </c>
      <c r="Q193" s="20">
        <f t="shared" si="6"/>
        <v>1289.7599999999998</v>
      </c>
    </row>
    <row r="194" spans="1:17" ht="12.75">
      <c r="A194" s="73">
        <f t="shared" si="5"/>
        <v>187</v>
      </c>
      <c r="B194" s="47" t="s">
        <v>603</v>
      </c>
      <c r="C194" s="10"/>
      <c r="D194" s="225">
        <v>1</v>
      </c>
      <c r="E194" s="46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>
        <f>E194+F194+G194+H194+I194+J194+K194+L194+M194+N194+O194+P194</f>
        <v>0</v>
      </c>
    </row>
    <row r="195" spans="1:17" ht="12.75">
      <c r="A195" s="73">
        <f t="shared" si="5"/>
        <v>188</v>
      </c>
      <c r="B195" s="9" t="s">
        <v>246</v>
      </c>
      <c r="C195" s="9">
        <v>21652</v>
      </c>
      <c r="D195" s="17">
        <v>2</v>
      </c>
      <c r="E195" s="20">
        <v>135.6</v>
      </c>
      <c r="F195" s="20">
        <v>108.48</v>
      </c>
      <c r="G195" s="20">
        <v>94.92</v>
      </c>
      <c r="H195" s="20">
        <v>67.8</v>
      </c>
      <c r="I195" s="22">
        <v>40.68</v>
      </c>
      <c r="J195" s="20">
        <v>27.12</v>
      </c>
      <c r="K195" s="22">
        <f>ROUND(0.04*143.25,0)*3.53*2</f>
        <v>42.36</v>
      </c>
      <c r="L195" s="22">
        <f>ROUND(0.04*235.08,0)*3.53*2</f>
        <v>63.54</v>
      </c>
      <c r="M195" s="22">
        <f>ROUND(0.04*314.17,0)*3.53*2</f>
        <v>91.78</v>
      </c>
      <c r="N195" s="22">
        <f>ROUND(0.04*430.83,0)*3.53*2</f>
        <v>120.02</v>
      </c>
      <c r="O195" s="22">
        <f>ROUND(0.04*492.08,0)*3.53*2</f>
        <v>141.2</v>
      </c>
      <c r="P195" s="22">
        <f>ROUND(0.04*548.5,0)*3.53*2</f>
        <v>155.32</v>
      </c>
      <c r="Q195" s="20">
        <f t="shared" si="6"/>
        <v>1088.82</v>
      </c>
    </row>
    <row r="196" spans="1:17" ht="12.75">
      <c r="A196" s="73">
        <f t="shared" si="5"/>
        <v>189</v>
      </c>
      <c r="B196" s="10" t="s">
        <v>247</v>
      </c>
      <c r="C196" s="10">
        <v>21657</v>
      </c>
      <c r="D196" s="45">
        <v>2</v>
      </c>
      <c r="E196" s="43">
        <v>135.6</v>
      </c>
      <c r="F196" s="43">
        <v>108.48</v>
      </c>
      <c r="G196" s="43">
        <v>94.92</v>
      </c>
      <c r="H196" s="43">
        <v>67.8</v>
      </c>
      <c r="I196" s="43">
        <v>40.68</v>
      </c>
      <c r="J196" s="43">
        <v>27.12</v>
      </c>
      <c r="K196" s="43">
        <f>ROUND(0.04*143.25,0)*3.53*2</f>
        <v>42.36</v>
      </c>
      <c r="L196" s="43">
        <f>ROUND(0.04*235.08,0)*3.53*2</f>
        <v>63.54</v>
      </c>
      <c r="M196" s="43">
        <f>ROUND(0.04*314.17,0)*3.53*2</f>
        <v>91.78</v>
      </c>
      <c r="N196" s="43">
        <f>ROUND(0.04*430.83,0)*3.53*2</f>
        <v>120.02</v>
      </c>
      <c r="O196" s="43">
        <f>ROUND(0.04*492.08,0)*3.53*2</f>
        <v>141.2</v>
      </c>
      <c r="P196" s="43">
        <f>ROUND(0.04*548.5,0)*3.53*2</f>
        <v>155.32</v>
      </c>
      <c r="Q196" s="43">
        <f t="shared" si="6"/>
        <v>1088.82</v>
      </c>
    </row>
    <row r="197" spans="1:17" ht="12.75">
      <c r="A197" s="73">
        <f t="shared" si="5"/>
        <v>190</v>
      </c>
      <c r="B197" s="9" t="s">
        <v>248</v>
      </c>
      <c r="C197" s="9">
        <v>21215</v>
      </c>
      <c r="D197" s="17" t="s">
        <v>584</v>
      </c>
      <c r="E197" s="21"/>
      <c r="F197" s="20"/>
      <c r="G197" s="20"/>
      <c r="H197" s="20"/>
      <c r="I197" s="20"/>
      <c r="J197" s="20"/>
      <c r="K197" s="22"/>
      <c r="L197" s="20"/>
      <c r="M197" s="20"/>
      <c r="N197" s="20"/>
      <c r="O197" s="20"/>
      <c r="P197" s="20"/>
      <c r="Q197" s="20">
        <f t="shared" si="6"/>
        <v>0</v>
      </c>
    </row>
    <row r="198" spans="1:17" ht="12.75">
      <c r="A198" s="73">
        <f t="shared" si="5"/>
        <v>191</v>
      </c>
      <c r="B198" s="10" t="s">
        <v>596</v>
      </c>
      <c r="C198" s="10"/>
      <c r="D198" s="45">
        <v>2</v>
      </c>
      <c r="E198" s="43">
        <v>135.6</v>
      </c>
      <c r="F198" s="43">
        <v>108.48</v>
      </c>
      <c r="G198" s="43">
        <v>94.92</v>
      </c>
      <c r="H198" s="43">
        <v>67.8</v>
      </c>
      <c r="I198" s="43">
        <v>40.68</v>
      </c>
      <c r="J198" s="43">
        <v>27.12</v>
      </c>
      <c r="K198" s="43">
        <f>ROUND(0.04*143.25,0)*3.53*2</f>
        <v>42.36</v>
      </c>
      <c r="L198" s="43">
        <f>ROUND(0.04*235.08,0)*3.53*2</f>
        <v>63.54</v>
      </c>
      <c r="M198" s="43">
        <f>ROUND(0.04*314.17,0)*3.53*2</f>
        <v>91.78</v>
      </c>
      <c r="N198" s="43">
        <f>ROUND(0.04*430.83,0)*3.53*2</f>
        <v>120.02</v>
      </c>
      <c r="O198" s="43">
        <f>ROUND(0.04*492.08,0)*3.53*2</f>
        <v>141.2</v>
      </c>
      <c r="P198" s="43">
        <f>ROUND(0.04*548.5,0)*3.53*2</f>
        <v>155.32</v>
      </c>
      <c r="Q198" s="43">
        <f t="shared" si="6"/>
        <v>1088.82</v>
      </c>
    </row>
    <row r="199" spans="1:231" s="44" customFormat="1" ht="12.75">
      <c r="A199" s="73">
        <f t="shared" si="5"/>
        <v>192</v>
      </c>
      <c r="B199" s="9" t="s">
        <v>249</v>
      </c>
      <c r="C199" s="9">
        <v>21223</v>
      </c>
      <c r="D199" s="17">
        <v>2</v>
      </c>
      <c r="E199" s="20">
        <v>135.6</v>
      </c>
      <c r="F199" s="20">
        <v>108.48</v>
      </c>
      <c r="G199" s="20">
        <v>94.92</v>
      </c>
      <c r="H199" s="20">
        <v>67.8</v>
      </c>
      <c r="I199" s="22">
        <v>40.68</v>
      </c>
      <c r="J199" s="20">
        <v>27.12</v>
      </c>
      <c r="K199" s="22">
        <f>ROUND(0.04*143.25,0)*3.53*2</f>
        <v>42.36</v>
      </c>
      <c r="L199" s="22">
        <f>ROUND(0.04*235.08,0)*3.53*2</f>
        <v>63.54</v>
      </c>
      <c r="M199" s="22">
        <f>ROUND(0.04*314.17,0)*3.53*2</f>
        <v>91.78</v>
      </c>
      <c r="N199" s="22">
        <f>ROUND(0.04*430.83,0)*3.53*2</f>
        <v>120.02</v>
      </c>
      <c r="O199" s="22">
        <f>ROUND(0.04*492.08,0)*3.53*2</f>
        <v>141.2</v>
      </c>
      <c r="P199" s="22">
        <f>ROUND(0.04*548.5,0)*3.53*2</f>
        <v>155.32</v>
      </c>
      <c r="Q199" s="20">
        <f t="shared" si="6"/>
        <v>1088.82</v>
      </c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</row>
    <row r="200" spans="1:17" ht="12.75">
      <c r="A200" s="73">
        <f t="shared" si="5"/>
        <v>193</v>
      </c>
      <c r="B200" s="10" t="s">
        <v>250</v>
      </c>
      <c r="C200" s="10">
        <v>21229</v>
      </c>
      <c r="D200" s="225">
        <v>4</v>
      </c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>
        <f t="shared" si="6"/>
        <v>0</v>
      </c>
    </row>
    <row r="201" spans="1:17" ht="12.75">
      <c r="A201" s="73">
        <f t="shared" si="5"/>
        <v>194</v>
      </c>
      <c r="B201" s="9" t="s">
        <v>251</v>
      </c>
      <c r="C201" s="9">
        <v>21643</v>
      </c>
      <c r="D201" s="26" t="s">
        <v>587</v>
      </c>
      <c r="E201" s="20"/>
      <c r="F201" s="20"/>
      <c r="G201" s="20"/>
      <c r="H201" s="20"/>
      <c r="I201" s="20"/>
      <c r="J201" s="20"/>
      <c r="K201" s="22"/>
      <c r="L201" s="20"/>
      <c r="M201" s="20"/>
      <c r="N201" s="20"/>
      <c r="O201" s="20"/>
      <c r="P201" s="20"/>
      <c r="Q201" s="20">
        <f t="shared" si="6"/>
        <v>0</v>
      </c>
    </row>
    <row r="202" spans="1:231" s="44" customFormat="1" ht="12.75">
      <c r="A202" s="73">
        <f>A201+1</f>
        <v>195</v>
      </c>
      <c r="B202" s="9" t="s">
        <v>252</v>
      </c>
      <c r="C202" s="9">
        <v>21230</v>
      </c>
      <c r="D202" s="17">
        <v>2</v>
      </c>
      <c r="E202" s="20">
        <v>135.6</v>
      </c>
      <c r="F202" s="20">
        <v>108.48</v>
      </c>
      <c r="G202" s="20">
        <v>94.92</v>
      </c>
      <c r="H202" s="20">
        <v>67.8</v>
      </c>
      <c r="I202" s="22">
        <v>40.68</v>
      </c>
      <c r="J202" s="20">
        <v>27.12</v>
      </c>
      <c r="K202" s="22">
        <f>ROUND(0.04*143.25,0)*3.53*2</f>
        <v>42.36</v>
      </c>
      <c r="L202" s="22">
        <f>ROUND(0.04*235.08,0)*3.53*2</f>
        <v>63.54</v>
      </c>
      <c r="M202" s="22">
        <f>ROUND(0.04*314.17,0)*3.53*2</f>
        <v>91.78</v>
      </c>
      <c r="N202" s="22">
        <f>ROUND(0.04*430.83,0)*3.53*2</f>
        <v>120.02</v>
      </c>
      <c r="O202" s="22">
        <f>ROUND(0.04*492.08,0)*3.53*2</f>
        <v>141.2</v>
      </c>
      <c r="P202" s="22">
        <f>ROUND(0.04*548.5,0)*3.53*2</f>
        <v>155.32</v>
      </c>
      <c r="Q202" s="20">
        <f t="shared" si="6"/>
        <v>1088.82</v>
      </c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</row>
    <row r="203" spans="1:17" ht="12.75">
      <c r="A203" s="73">
        <f>A202+1</f>
        <v>196</v>
      </c>
      <c r="B203" s="9" t="s">
        <v>253</v>
      </c>
      <c r="C203" s="9">
        <v>21859</v>
      </c>
      <c r="D203" s="17">
        <v>0</v>
      </c>
      <c r="E203" s="21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2"/>
      <c r="L203" s="20"/>
      <c r="M203" s="20"/>
      <c r="N203" s="20"/>
      <c r="O203" s="20"/>
      <c r="P203" s="20"/>
      <c r="Q203" s="20">
        <f t="shared" si="6"/>
        <v>0</v>
      </c>
    </row>
    <row r="204" spans="1:17" ht="12.75">
      <c r="A204" s="73">
        <f>A203+1</f>
        <v>197</v>
      </c>
      <c r="B204" s="10" t="s">
        <v>254</v>
      </c>
      <c r="C204" s="10">
        <v>21239</v>
      </c>
      <c r="D204" s="45">
        <v>4</v>
      </c>
      <c r="E204" s="43">
        <v>271.2</v>
      </c>
      <c r="F204" s="43">
        <v>216.96</v>
      </c>
      <c r="G204" s="43">
        <v>189.84</v>
      </c>
      <c r="H204" s="43">
        <v>135.6</v>
      </c>
      <c r="I204" s="43">
        <v>81.36</v>
      </c>
      <c r="J204" s="43">
        <v>54.24</v>
      </c>
      <c r="K204" s="43">
        <f>ROUND(0.04*143.25,0)*3.53*4</f>
        <v>84.72</v>
      </c>
      <c r="L204" s="43">
        <f>ROUND(0.04*235.08,0)*3.53*4</f>
        <v>127.08</v>
      </c>
      <c r="M204" s="43">
        <f>ROUND(0.04*314.17,0)*3.53*4</f>
        <v>183.56</v>
      </c>
      <c r="N204" s="43">
        <f>ROUND(0.04*430.83,0)*3.53*4</f>
        <v>240.04</v>
      </c>
      <c r="O204" s="43">
        <f>ROUND(0.04*492.08,0)*3.53*4</f>
        <v>282.4</v>
      </c>
      <c r="P204" s="43">
        <f>ROUND(0.04*548.5,0)*3.53*4</f>
        <v>310.64</v>
      </c>
      <c r="Q204" s="43">
        <f t="shared" si="6"/>
        <v>2177.64</v>
      </c>
    </row>
    <row r="205" spans="1:17" ht="12.75">
      <c r="A205" s="73">
        <f aca="true" t="shared" si="7" ref="A205:A268">A204+1</f>
        <v>198</v>
      </c>
      <c r="B205" s="9" t="s">
        <v>255</v>
      </c>
      <c r="C205" s="9">
        <v>21241</v>
      </c>
      <c r="D205" s="17">
        <v>6</v>
      </c>
      <c r="E205" s="20">
        <v>406.8</v>
      </c>
      <c r="F205" s="20">
        <v>325.44</v>
      </c>
      <c r="G205" s="20">
        <v>284.76</v>
      </c>
      <c r="H205" s="20">
        <v>203.4</v>
      </c>
      <c r="I205" s="20">
        <v>122.04</v>
      </c>
      <c r="J205" s="20">
        <v>81.36</v>
      </c>
      <c r="K205" s="22">
        <f>ROUND(0.04*143.25,0)*3.53*6</f>
        <v>127.08</v>
      </c>
      <c r="L205" s="22">
        <f>ROUND(0.04*235.08,0)*3.53*6</f>
        <v>190.62</v>
      </c>
      <c r="M205" s="22">
        <f>ROUND(0.04*314.17,0)*3.53*6</f>
        <v>275.34000000000003</v>
      </c>
      <c r="N205" s="22">
        <f>ROUND(0.04*430.83,0)*3.53*6</f>
        <v>360.06</v>
      </c>
      <c r="O205" s="22">
        <f>ROUND(0.04*492.08,0)*3.53*6</f>
        <v>423.59999999999997</v>
      </c>
      <c r="P205" s="22">
        <f>ROUND(0.04*548.5,0)*3.53*6</f>
        <v>465.96</v>
      </c>
      <c r="Q205" s="20">
        <f t="shared" si="6"/>
        <v>3266.46</v>
      </c>
    </row>
    <row r="206" spans="1:231" s="44" customFormat="1" ht="12.75">
      <c r="A206" s="73">
        <f t="shared" si="7"/>
        <v>199</v>
      </c>
      <c r="B206" s="9" t="s">
        <v>256</v>
      </c>
      <c r="C206" s="9">
        <v>21242</v>
      </c>
      <c r="D206" s="17">
        <v>2</v>
      </c>
      <c r="E206" s="20">
        <v>135.6</v>
      </c>
      <c r="F206" s="20">
        <v>108.48</v>
      </c>
      <c r="G206" s="20">
        <v>94.92</v>
      </c>
      <c r="H206" s="20">
        <v>67.8</v>
      </c>
      <c r="I206" s="22">
        <v>40.68</v>
      </c>
      <c r="J206" s="20">
        <v>27.12</v>
      </c>
      <c r="K206" s="22">
        <f>ROUND(0.04*143.25,0)*3.53*2</f>
        <v>42.36</v>
      </c>
      <c r="L206" s="22">
        <f>ROUND(0.04*235.08,0)*3.53*2</f>
        <v>63.54</v>
      </c>
      <c r="M206" s="22">
        <f>ROUND(0.04*314.17,0)*3.53*2</f>
        <v>91.78</v>
      </c>
      <c r="N206" s="22">
        <f>ROUND(0.04*430.83,0)*3.53*2</f>
        <v>120.02</v>
      </c>
      <c r="O206" s="22">
        <f>ROUND(0.04*492.08,0)*3.53*2</f>
        <v>141.2</v>
      </c>
      <c r="P206" s="22">
        <f>ROUND(0.04*548.5,0)*3.53*2</f>
        <v>155.32</v>
      </c>
      <c r="Q206" s="20">
        <f t="shared" si="6"/>
        <v>1088.82</v>
      </c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</row>
    <row r="207" spans="1:17" ht="12.75">
      <c r="A207" s="73">
        <f t="shared" si="7"/>
        <v>200</v>
      </c>
      <c r="B207" s="47" t="s">
        <v>604</v>
      </c>
      <c r="C207" s="10"/>
      <c r="D207" s="45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>
        <f t="shared" si="6"/>
        <v>0</v>
      </c>
    </row>
    <row r="208" spans="1:231" s="44" customFormat="1" ht="12.75">
      <c r="A208" s="73">
        <f t="shared" si="7"/>
        <v>201</v>
      </c>
      <c r="B208" s="9" t="s">
        <v>257</v>
      </c>
      <c r="C208" s="9">
        <v>21232</v>
      </c>
      <c r="D208" s="17" t="s">
        <v>585</v>
      </c>
      <c r="E208" s="20">
        <v>116.15</v>
      </c>
      <c r="F208" s="20">
        <v>114.8</v>
      </c>
      <c r="G208" s="20">
        <v>84.75</v>
      </c>
      <c r="H208" s="20">
        <v>104</v>
      </c>
      <c r="I208" s="20">
        <v>40.42</v>
      </c>
      <c r="J208" s="20">
        <v>9.59</v>
      </c>
      <c r="K208" s="22">
        <v>13.52</v>
      </c>
      <c r="L208" s="20">
        <v>39.2</v>
      </c>
      <c r="M208" s="20">
        <v>98.97</v>
      </c>
      <c r="N208" s="20">
        <v>100.38</v>
      </c>
      <c r="O208" s="20">
        <v>189.81</v>
      </c>
      <c r="P208" s="20">
        <v>409.48</v>
      </c>
      <c r="Q208" s="20">
        <f t="shared" si="6"/>
        <v>1321.07</v>
      </c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</row>
    <row r="209" spans="1:231" s="44" customFormat="1" ht="12.75">
      <c r="A209" s="73">
        <f t="shared" si="7"/>
        <v>202</v>
      </c>
      <c r="B209" s="9" t="s">
        <v>258</v>
      </c>
      <c r="C209" s="9">
        <v>21233</v>
      </c>
      <c r="D209" s="17" t="s">
        <v>585</v>
      </c>
      <c r="E209" s="20">
        <v>368.91</v>
      </c>
      <c r="F209" s="20">
        <v>377.15</v>
      </c>
      <c r="G209" s="20">
        <v>324.51</v>
      </c>
      <c r="H209" s="20">
        <v>175.82</v>
      </c>
      <c r="I209" s="20">
        <v>215.53</v>
      </c>
      <c r="J209" s="20">
        <v>90.43</v>
      </c>
      <c r="K209" s="22">
        <v>90.46</v>
      </c>
      <c r="L209" s="20">
        <v>77.62</v>
      </c>
      <c r="M209" s="20">
        <v>160.83</v>
      </c>
      <c r="N209" s="20">
        <v>162.24</v>
      </c>
      <c r="O209" s="20">
        <v>461.27</v>
      </c>
      <c r="P209" s="20">
        <v>485.49</v>
      </c>
      <c r="Q209" s="20">
        <f t="shared" si="6"/>
        <v>2990.2599999999993</v>
      </c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</row>
    <row r="210" spans="1:17" ht="12.75">
      <c r="A210" s="73">
        <f t="shared" si="7"/>
        <v>203</v>
      </c>
      <c r="B210" s="9" t="s">
        <v>259</v>
      </c>
      <c r="C210" s="9">
        <v>21234</v>
      </c>
      <c r="D210" s="17">
        <v>0</v>
      </c>
      <c r="E210" s="21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2"/>
      <c r="L210" s="20"/>
      <c r="M210" s="20"/>
      <c r="N210" s="20"/>
      <c r="O210" s="20"/>
      <c r="P210" s="20"/>
      <c r="Q210" s="20">
        <f t="shared" si="6"/>
        <v>0</v>
      </c>
    </row>
    <row r="211" spans="1:17" ht="12.75">
      <c r="A211" s="73">
        <f t="shared" si="7"/>
        <v>204</v>
      </c>
      <c r="B211" s="9" t="s">
        <v>260</v>
      </c>
      <c r="C211" s="9">
        <v>21235</v>
      </c>
      <c r="D211" s="17" t="s">
        <v>585</v>
      </c>
      <c r="E211" s="20">
        <v>1368.5</v>
      </c>
      <c r="F211" s="20">
        <v>1120</v>
      </c>
      <c r="G211" s="20">
        <v>1070.06</v>
      </c>
      <c r="H211" s="20">
        <v>133.19</v>
      </c>
      <c r="I211" s="20">
        <v>396.17</v>
      </c>
      <c r="J211" s="20">
        <v>340.48</v>
      </c>
      <c r="K211" s="22">
        <v>431.38</v>
      </c>
      <c r="L211" s="20">
        <v>348.95</v>
      </c>
      <c r="M211" s="20">
        <v>728.04</v>
      </c>
      <c r="N211" s="20">
        <v>752.94</v>
      </c>
      <c r="O211" s="20">
        <v>877.47</v>
      </c>
      <c r="P211" s="20">
        <v>1146.41</v>
      </c>
      <c r="Q211" s="20">
        <f t="shared" si="6"/>
        <v>8713.59</v>
      </c>
    </row>
    <row r="212" spans="1:17" ht="12.75">
      <c r="A212" s="73">
        <f t="shared" si="7"/>
        <v>205</v>
      </c>
      <c r="B212" s="9" t="s">
        <v>261</v>
      </c>
      <c r="C212" s="9">
        <v>21236</v>
      </c>
      <c r="D212" s="17">
        <v>1</v>
      </c>
      <c r="E212" s="21">
        <v>67.8</v>
      </c>
      <c r="F212" s="20">
        <v>54.24</v>
      </c>
      <c r="G212" s="20">
        <v>47.46</v>
      </c>
      <c r="H212" s="20">
        <v>33.9</v>
      </c>
      <c r="I212" s="20">
        <v>20.34</v>
      </c>
      <c r="J212" s="20">
        <v>13.56</v>
      </c>
      <c r="K212" s="22">
        <f>ROUND(0.04*143.25,0)*3.53</f>
        <v>21.18</v>
      </c>
      <c r="L212" s="22">
        <f>ROUND(0.04*235.08,0)*3.53</f>
        <v>31.77</v>
      </c>
      <c r="M212" s="22">
        <f>ROUND(0.04*314.17,0)*3.53</f>
        <v>45.89</v>
      </c>
      <c r="N212" s="22">
        <f>ROUND(0.04*430.83,0)*3.53</f>
        <v>60.01</v>
      </c>
      <c r="O212" s="22">
        <f>ROUND(0.04*492.08,0)*3.53</f>
        <v>70.6</v>
      </c>
      <c r="P212" s="22">
        <f>ROUND(0.04*548.5,0)*3.53</f>
        <v>77.66</v>
      </c>
      <c r="Q212" s="20">
        <f t="shared" si="6"/>
        <v>544.41</v>
      </c>
    </row>
    <row r="213" spans="1:231" s="44" customFormat="1" ht="12.75">
      <c r="A213" s="73">
        <f t="shared" si="7"/>
        <v>206</v>
      </c>
      <c r="B213" s="9" t="s">
        <v>262</v>
      </c>
      <c r="C213" s="9">
        <v>21249</v>
      </c>
      <c r="D213" s="17" t="s">
        <v>585</v>
      </c>
      <c r="E213" s="20">
        <v>181.72</v>
      </c>
      <c r="F213" s="20">
        <v>229.53</v>
      </c>
      <c r="G213" s="20">
        <v>194.58</v>
      </c>
      <c r="H213" s="20">
        <v>5.47</v>
      </c>
      <c r="I213" s="20">
        <v>26.07</v>
      </c>
      <c r="J213" s="20">
        <v>24.01</v>
      </c>
      <c r="K213" s="22">
        <v>21.4</v>
      </c>
      <c r="L213" s="20">
        <v>19.26</v>
      </c>
      <c r="M213" s="20">
        <v>14.98</v>
      </c>
      <c r="N213" s="20">
        <v>12.84</v>
      </c>
      <c r="O213" s="20">
        <v>88.85</v>
      </c>
      <c r="P213" s="20">
        <v>140.74</v>
      </c>
      <c r="Q213" s="20">
        <f t="shared" si="6"/>
        <v>959.4500000000002</v>
      </c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</row>
    <row r="214" spans="1:17" ht="12.75">
      <c r="A214" s="73">
        <f t="shared" si="7"/>
        <v>207</v>
      </c>
      <c r="B214" s="9" t="s">
        <v>263</v>
      </c>
      <c r="C214" s="9">
        <v>12059</v>
      </c>
      <c r="D214" s="17">
        <v>0</v>
      </c>
      <c r="E214" s="21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2"/>
      <c r="L214" s="20"/>
      <c r="M214" s="20"/>
      <c r="N214" s="20"/>
      <c r="O214" s="20"/>
      <c r="P214" s="20"/>
      <c r="Q214" s="20">
        <f t="shared" si="6"/>
        <v>0</v>
      </c>
    </row>
    <row r="215" spans="1:17" ht="12.75">
      <c r="A215" s="73">
        <f t="shared" si="7"/>
        <v>208</v>
      </c>
      <c r="B215" s="9" t="s">
        <v>264</v>
      </c>
      <c r="C215" s="9">
        <v>21381</v>
      </c>
      <c r="D215" s="17">
        <v>0</v>
      </c>
      <c r="E215" s="21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2"/>
      <c r="L215" s="20"/>
      <c r="M215" s="20"/>
      <c r="N215" s="20"/>
      <c r="O215" s="20"/>
      <c r="P215" s="20"/>
      <c r="Q215" s="20">
        <f t="shared" si="6"/>
        <v>0</v>
      </c>
    </row>
    <row r="216" spans="1:17" ht="12.75">
      <c r="A216" s="73">
        <f t="shared" si="7"/>
        <v>209</v>
      </c>
      <c r="B216" s="9" t="s">
        <v>265</v>
      </c>
      <c r="C216" s="9">
        <v>21392</v>
      </c>
      <c r="D216" s="17">
        <v>2</v>
      </c>
      <c r="E216" s="20">
        <v>135.6</v>
      </c>
      <c r="F216" s="20">
        <v>108.48</v>
      </c>
      <c r="G216" s="20">
        <v>94.92</v>
      </c>
      <c r="H216" s="20">
        <v>67.8</v>
      </c>
      <c r="I216" s="22">
        <v>40.68</v>
      </c>
      <c r="J216" s="20">
        <v>27.12</v>
      </c>
      <c r="K216" s="22">
        <f>ROUND(0.04*143.25,0)*3.53*2</f>
        <v>42.36</v>
      </c>
      <c r="L216" s="22">
        <f>ROUND(0.04*235.08,0)*3.53*2</f>
        <v>63.54</v>
      </c>
      <c r="M216" s="22">
        <f>ROUND(0.04*314.17,0)*3.53*2</f>
        <v>91.78</v>
      </c>
      <c r="N216" s="22">
        <f>ROUND(0.04*430.83,0)*3.53*2</f>
        <v>120.02</v>
      </c>
      <c r="O216" s="22">
        <f>ROUND(0.04*492.08,0)*3.53*2</f>
        <v>141.2</v>
      </c>
      <c r="P216" s="22">
        <f>ROUND(0.04*548.5,0)*3.53*2</f>
        <v>155.32</v>
      </c>
      <c r="Q216" s="20">
        <f t="shared" si="6"/>
        <v>1088.82</v>
      </c>
    </row>
    <row r="217" spans="1:231" s="44" customFormat="1" ht="12.75">
      <c r="A217" s="73">
        <f t="shared" si="7"/>
        <v>210</v>
      </c>
      <c r="B217" s="9" t="s">
        <v>266</v>
      </c>
      <c r="C217" s="9">
        <v>21391</v>
      </c>
      <c r="D217" s="17">
        <v>2</v>
      </c>
      <c r="E217" s="20">
        <v>135.6</v>
      </c>
      <c r="F217" s="20">
        <v>108.48</v>
      </c>
      <c r="G217" s="20">
        <v>94.92</v>
      </c>
      <c r="H217" s="20">
        <v>67.8</v>
      </c>
      <c r="I217" s="22">
        <v>40.68</v>
      </c>
      <c r="J217" s="20">
        <v>27.12</v>
      </c>
      <c r="K217" s="22">
        <f>ROUND(0.04*143.25,0)*3.53*2</f>
        <v>42.36</v>
      </c>
      <c r="L217" s="22">
        <f>ROUND(0.04*235.08,0)*3.53*2</f>
        <v>63.54</v>
      </c>
      <c r="M217" s="22">
        <f>ROUND(0.04*314.17,0)*3.53*2</f>
        <v>91.78</v>
      </c>
      <c r="N217" s="22">
        <f>ROUND(0.04*430.83,0)*3.53*2</f>
        <v>120.02</v>
      </c>
      <c r="O217" s="22">
        <f>ROUND(0.04*492.08,0)*3.53*2</f>
        <v>141.2</v>
      </c>
      <c r="P217" s="22">
        <f>ROUND(0.04*548.5,0)*3.53*2</f>
        <v>155.32</v>
      </c>
      <c r="Q217" s="20">
        <f t="shared" si="6"/>
        <v>1088.82</v>
      </c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</row>
    <row r="218" spans="1:17" ht="12.75">
      <c r="A218" s="73">
        <f t="shared" si="7"/>
        <v>211</v>
      </c>
      <c r="B218" s="9" t="s">
        <v>267</v>
      </c>
      <c r="C218" s="9">
        <v>21250</v>
      </c>
      <c r="D218" s="17" t="s">
        <v>585</v>
      </c>
      <c r="E218" s="20">
        <v>752.25</v>
      </c>
      <c r="F218" s="20">
        <v>672.19</v>
      </c>
      <c r="G218" s="20">
        <v>636.03</v>
      </c>
      <c r="H218" s="20">
        <v>36.37</v>
      </c>
      <c r="I218" s="20">
        <v>86.52</v>
      </c>
      <c r="J218" s="20">
        <v>49.44</v>
      </c>
      <c r="K218" s="22">
        <v>66.34</v>
      </c>
      <c r="L218" s="20">
        <v>57.78</v>
      </c>
      <c r="M218" s="20">
        <v>85.6</v>
      </c>
      <c r="N218" s="20">
        <v>77.04</v>
      </c>
      <c r="O218" s="20">
        <v>0</v>
      </c>
      <c r="P218" s="20">
        <v>201.16</v>
      </c>
      <c r="Q218" s="20">
        <f t="shared" si="6"/>
        <v>2720.7200000000003</v>
      </c>
    </row>
    <row r="219" spans="1:17" ht="12.75">
      <c r="A219" s="73">
        <f t="shared" si="7"/>
        <v>212</v>
      </c>
      <c r="B219" s="9" t="s">
        <v>268</v>
      </c>
      <c r="C219" s="9">
        <v>21251</v>
      </c>
      <c r="D219" s="17" t="s">
        <v>585</v>
      </c>
      <c r="E219" s="20">
        <v>802.75</v>
      </c>
      <c r="F219" s="20">
        <v>606.04</v>
      </c>
      <c r="G219" s="20">
        <v>584.8</v>
      </c>
      <c r="H219" s="20">
        <v>234.5</v>
      </c>
      <c r="I219" s="20">
        <v>498.91</v>
      </c>
      <c r="J219" s="20">
        <v>390.86</v>
      </c>
      <c r="K219" s="22">
        <v>447.12</v>
      </c>
      <c r="L219" s="20">
        <v>323.45</v>
      </c>
      <c r="M219" s="20">
        <v>743.35</v>
      </c>
      <c r="N219" s="20">
        <v>741.94</v>
      </c>
      <c r="O219" s="20">
        <v>742.75</v>
      </c>
      <c r="P219" s="20">
        <v>883.64</v>
      </c>
      <c r="Q219" s="20">
        <f t="shared" si="6"/>
        <v>7000.11</v>
      </c>
    </row>
    <row r="220" spans="1:231" s="44" customFormat="1" ht="12.75">
      <c r="A220" s="73">
        <f t="shared" si="7"/>
        <v>213</v>
      </c>
      <c r="B220" s="9" t="s">
        <v>269</v>
      </c>
      <c r="C220" s="9">
        <v>21252</v>
      </c>
      <c r="D220" s="17" t="s">
        <v>585</v>
      </c>
      <c r="E220" s="20">
        <v>170.98</v>
      </c>
      <c r="F220" s="20">
        <v>644.69</v>
      </c>
      <c r="G220" s="20">
        <v>1642.33</v>
      </c>
      <c r="H220" s="20">
        <v>831.74</v>
      </c>
      <c r="I220" s="20">
        <v>1072.29</v>
      </c>
      <c r="J220" s="20">
        <v>1036.63</v>
      </c>
      <c r="K220" s="22">
        <v>1646.49</v>
      </c>
      <c r="L220" s="20">
        <v>851.09</v>
      </c>
      <c r="M220" s="20">
        <v>1553.81</v>
      </c>
      <c r="N220" s="20">
        <v>1570.88</v>
      </c>
      <c r="O220" s="20">
        <v>1006.03</v>
      </c>
      <c r="P220" s="20">
        <v>980.65</v>
      </c>
      <c r="Q220" s="20">
        <f t="shared" si="6"/>
        <v>13007.61</v>
      </c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</row>
    <row r="221" spans="1:17" ht="12.75">
      <c r="A221" s="73">
        <f t="shared" si="7"/>
        <v>214</v>
      </c>
      <c r="B221" s="9" t="s">
        <v>270</v>
      </c>
      <c r="C221" s="9">
        <v>21253</v>
      </c>
      <c r="D221" s="17" t="s">
        <v>585</v>
      </c>
      <c r="E221" s="20">
        <v>307.46</v>
      </c>
      <c r="F221" s="20">
        <v>215.96</v>
      </c>
      <c r="G221" s="20">
        <v>195.43</v>
      </c>
      <c r="H221" s="20">
        <v>84.18</v>
      </c>
      <c r="I221" s="20">
        <v>197.56</v>
      </c>
      <c r="J221" s="20">
        <v>81.34</v>
      </c>
      <c r="K221" s="22">
        <v>187.77</v>
      </c>
      <c r="L221" s="20">
        <v>147.31</v>
      </c>
      <c r="M221" s="20">
        <v>165.69</v>
      </c>
      <c r="N221" s="20">
        <v>173.52</v>
      </c>
      <c r="O221" s="20">
        <v>260.91</v>
      </c>
      <c r="P221" s="20">
        <v>230.32</v>
      </c>
      <c r="Q221" s="20">
        <f t="shared" si="6"/>
        <v>2247.45</v>
      </c>
    </row>
    <row r="222" spans="1:17" ht="12.75">
      <c r="A222" s="73">
        <f t="shared" si="7"/>
        <v>215</v>
      </c>
      <c r="B222" s="9" t="s">
        <v>271</v>
      </c>
      <c r="C222" s="9">
        <v>21000</v>
      </c>
      <c r="D222" s="17" t="s">
        <v>586</v>
      </c>
      <c r="E222" s="20"/>
      <c r="F222" s="20"/>
      <c r="G222" s="20"/>
      <c r="H222" s="20"/>
      <c r="I222" s="20"/>
      <c r="J222" s="20"/>
      <c r="K222" s="22"/>
      <c r="L222" s="20"/>
      <c r="M222" s="20"/>
      <c r="N222" s="20"/>
      <c r="O222" s="20"/>
      <c r="P222" s="20"/>
      <c r="Q222" s="20">
        <f t="shared" si="6"/>
        <v>0</v>
      </c>
    </row>
    <row r="223" spans="1:17" ht="12.75">
      <c r="A223" s="73">
        <f t="shared" si="7"/>
        <v>216</v>
      </c>
      <c r="B223" s="9" t="s">
        <v>272</v>
      </c>
      <c r="C223" s="9">
        <v>21255</v>
      </c>
      <c r="D223" s="17" t="s">
        <v>585</v>
      </c>
      <c r="E223" s="20">
        <v>255.44</v>
      </c>
      <c r="F223" s="20">
        <v>129.78</v>
      </c>
      <c r="G223" s="20">
        <v>171.98</v>
      </c>
      <c r="H223" s="20">
        <v>453.59</v>
      </c>
      <c r="I223" s="20">
        <v>522.57</v>
      </c>
      <c r="J223" s="20">
        <v>490.39</v>
      </c>
      <c r="K223" s="22">
        <v>1065.37</v>
      </c>
      <c r="L223" s="20">
        <v>406.51</v>
      </c>
      <c r="M223" s="20">
        <v>545.84</v>
      </c>
      <c r="N223" s="20">
        <v>546.57</v>
      </c>
      <c r="O223" s="20">
        <v>292.86</v>
      </c>
      <c r="P223" s="20">
        <v>460.59</v>
      </c>
      <c r="Q223" s="20">
        <f t="shared" si="6"/>
        <v>5341.49</v>
      </c>
    </row>
    <row r="224" spans="1:17" ht="12.75">
      <c r="A224" s="73">
        <f t="shared" si="7"/>
        <v>217</v>
      </c>
      <c r="B224" s="9" t="s">
        <v>273</v>
      </c>
      <c r="C224" s="9">
        <v>21256</v>
      </c>
      <c r="D224" s="17" t="s">
        <v>585</v>
      </c>
      <c r="E224" s="20">
        <v>894.25</v>
      </c>
      <c r="F224" s="20">
        <v>1275.44</v>
      </c>
      <c r="G224" s="20">
        <v>177.17</v>
      </c>
      <c r="H224" s="20">
        <v>461.76</v>
      </c>
      <c r="I224" s="20">
        <v>882.73</v>
      </c>
      <c r="J224" s="20">
        <v>193.08</v>
      </c>
      <c r="K224" s="22">
        <v>220.75</v>
      </c>
      <c r="L224" s="20">
        <v>182.28</v>
      </c>
      <c r="M224" s="20">
        <v>153.05</v>
      </c>
      <c r="N224" s="20">
        <v>162.29</v>
      </c>
      <c r="O224" s="20">
        <v>901.77</v>
      </c>
      <c r="P224" s="20">
        <v>872.11</v>
      </c>
      <c r="Q224" s="20">
        <f t="shared" si="6"/>
        <v>6376.679999999999</v>
      </c>
    </row>
    <row r="225" spans="1:17" ht="12.75">
      <c r="A225" s="73">
        <f t="shared" si="7"/>
        <v>218</v>
      </c>
      <c r="B225" s="9" t="s">
        <v>310</v>
      </c>
      <c r="C225" s="9">
        <v>31001</v>
      </c>
      <c r="D225" s="17" t="s">
        <v>586</v>
      </c>
      <c r="E225" s="20"/>
      <c r="F225" s="20"/>
      <c r="G225" s="20"/>
      <c r="H225" s="20"/>
      <c r="I225" s="20"/>
      <c r="J225" s="20"/>
      <c r="K225" s="22"/>
      <c r="L225" s="20"/>
      <c r="M225" s="20"/>
      <c r="N225" s="20"/>
      <c r="O225" s="20"/>
      <c r="P225" s="20"/>
      <c r="Q225" s="20">
        <f t="shared" si="6"/>
        <v>0</v>
      </c>
    </row>
    <row r="226" spans="1:17" ht="12.75">
      <c r="A226" s="73">
        <f t="shared" si="7"/>
        <v>219</v>
      </c>
      <c r="B226" s="9" t="s">
        <v>311</v>
      </c>
      <c r="C226" s="9">
        <v>21257</v>
      </c>
      <c r="D226" s="17" t="s">
        <v>713</v>
      </c>
      <c r="E226" s="20">
        <v>2101.8</v>
      </c>
      <c r="F226" s="20">
        <v>1681.44</v>
      </c>
      <c r="G226" s="20">
        <v>1471.26</v>
      </c>
      <c r="H226" s="20">
        <v>1050.9</v>
      </c>
      <c r="I226" s="20">
        <v>630.54</v>
      </c>
      <c r="J226" s="20">
        <v>420.36</v>
      </c>
      <c r="K226" s="22">
        <f>ROUND(0.04*143.25,0)*3.53*31</f>
        <v>656.58</v>
      </c>
      <c r="L226" s="20">
        <f>104.86+117.15</f>
        <v>222.01</v>
      </c>
      <c r="M226" s="20">
        <f>126.26+237.85</f>
        <v>364.11</v>
      </c>
      <c r="N226" s="20">
        <v>279.54</v>
      </c>
      <c r="O226" s="20">
        <v>699.42</v>
      </c>
      <c r="P226" s="20">
        <v>585.72</v>
      </c>
      <c r="Q226" s="20">
        <f t="shared" si="6"/>
        <v>10163.68</v>
      </c>
    </row>
    <row r="227" spans="1:231" s="44" customFormat="1" ht="12.75">
      <c r="A227" s="73">
        <f t="shared" si="7"/>
        <v>220</v>
      </c>
      <c r="B227" s="9" t="s">
        <v>312</v>
      </c>
      <c r="C227" s="9">
        <v>21113</v>
      </c>
      <c r="D227" s="17">
        <v>22</v>
      </c>
      <c r="E227" s="20">
        <v>1491.6</v>
      </c>
      <c r="F227" s="20">
        <v>1193.28</v>
      </c>
      <c r="G227" s="20">
        <v>1044.12</v>
      </c>
      <c r="H227" s="20">
        <v>745.8</v>
      </c>
      <c r="I227" s="20">
        <v>447.48</v>
      </c>
      <c r="J227" s="20">
        <v>298.32</v>
      </c>
      <c r="K227" s="22">
        <f>ROUND(0.04*143.25,0)*3.53*22</f>
        <v>465.96</v>
      </c>
      <c r="L227" s="22">
        <f>ROUND(0.04*235.08,0)*3.53*22</f>
        <v>698.9399999999999</v>
      </c>
      <c r="M227" s="22">
        <f>ROUND(0.04*314.17,0)*3.53*22</f>
        <v>1009.58</v>
      </c>
      <c r="N227" s="22">
        <f>ROUND(0.04*430.83,0)*3.53*22</f>
        <v>1320.22</v>
      </c>
      <c r="O227" s="22">
        <f>ROUND(0.04*492.08,0)*3.53*22</f>
        <v>1553.1999999999998</v>
      </c>
      <c r="P227" s="22">
        <f>ROUND(0.04*548.5,0)*3.53*22</f>
        <v>1708.52</v>
      </c>
      <c r="Q227" s="20">
        <f t="shared" si="6"/>
        <v>11977.02</v>
      </c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</row>
    <row r="228" spans="1:231" s="44" customFormat="1" ht="12.75">
      <c r="A228" s="73">
        <f t="shared" si="7"/>
        <v>221</v>
      </c>
      <c r="B228" s="9" t="s">
        <v>313</v>
      </c>
      <c r="C228" s="9">
        <v>21116</v>
      </c>
      <c r="D228" s="17" t="s">
        <v>585</v>
      </c>
      <c r="E228" s="20">
        <v>553.33</v>
      </c>
      <c r="F228" s="20">
        <v>567.75</v>
      </c>
      <c r="G228" s="20">
        <v>1131.12</v>
      </c>
      <c r="H228" s="20">
        <v>34.1</v>
      </c>
      <c r="I228" s="20">
        <v>238.7</v>
      </c>
      <c r="J228" s="20">
        <v>156.86</v>
      </c>
      <c r="K228" s="22">
        <v>188.15</v>
      </c>
      <c r="L228" s="20">
        <v>145.55</v>
      </c>
      <c r="M228" s="20">
        <v>305.3</v>
      </c>
      <c r="N228" s="20">
        <v>355</v>
      </c>
      <c r="O228" s="20">
        <v>432.87</v>
      </c>
      <c r="P228" s="20">
        <v>459.91</v>
      </c>
      <c r="Q228" s="20">
        <f t="shared" si="6"/>
        <v>4568.64</v>
      </c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</row>
    <row r="229" spans="1:231" s="44" customFormat="1" ht="12.75">
      <c r="A229" s="73">
        <f t="shared" si="7"/>
        <v>222</v>
      </c>
      <c r="B229" s="9" t="s">
        <v>314</v>
      </c>
      <c r="C229" s="9">
        <v>21114</v>
      </c>
      <c r="D229" s="17" t="s">
        <v>585</v>
      </c>
      <c r="E229" s="20">
        <v>669.55</v>
      </c>
      <c r="F229" s="20">
        <v>483.92</v>
      </c>
      <c r="G229" s="20">
        <v>444.92</v>
      </c>
      <c r="H229" s="20">
        <v>87.16</v>
      </c>
      <c r="I229" s="20">
        <v>262.77</v>
      </c>
      <c r="J229" s="20">
        <v>179.09</v>
      </c>
      <c r="K229" s="22">
        <v>142.98</v>
      </c>
      <c r="L229" s="20">
        <v>137.34</v>
      </c>
      <c r="M229" s="20">
        <v>230.52</v>
      </c>
      <c r="N229" s="20">
        <v>320.05</v>
      </c>
      <c r="O229" s="20">
        <v>539.62</v>
      </c>
      <c r="P229" s="20">
        <v>659.69</v>
      </c>
      <c r="Q229" s="20">
        <f t="shared" si="6"/>
        <v>4157.610000000001</v>
      </c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</row>
    <row r="230" spans="1:231" s="44" customFormat="1" ht="12.75">
      <c r="A230" s="73">
        <f t="shared" si="7"/>
        <v>223</v>
      </c>
      <c r="B230" s="9" t="s">
        <v>315</v>
      </c>
      <c r="C230" s="9">
        <v>21115</v>
      </c>
      <c r="D230" s="17" t="s">
        <v>585</v>
      </c>
      <c r="E230" s="20">
        <v>368.91</v>
      </c>
      <c r="F230" s="20">
        <v>434.55</v>
      </c>
      <c r="G230" s="20">
        <v>610.45</v>
      </c>
      <c r="H230" s="20">
        <v>63.86</v>
      </c>
      <c r="I230" s="20">
        <v>216.17</v>
      </c>
      <c r="J230" s="20">
        <v>177.74</v>
      </c>
      <c r="K230" s="22">
        <v>271.66</v>
      </c>
      <c r="L230" s="20">
        <v>191.32</v>
      </c>
      <c r="M230" s="20">
        <v>311.44</v>
      </c>
      <c r="N230" s="20">
        <v>365.42</v>
      </c>
      <c r="O230" s="20">
        <v>304.97</v>
      </c>
      <c r="P230" s="20">
        <v>811.08</v>
      </c>
      <c r="Q230" s="20">
        <f t="shared" si="6"/>
        <v>4127.570000000001</v>
      </c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</row>
    <row r="231" spans="1:17" ht="12.75">
      <c r="A231" s="73">
        <f t="shared" si="7"/>
        <v>224</v>
      </c>
      <c r="B231" s="9" t="s">
        <v>316</v>
      </c>
      <c r="C231" s="9">
        <v>21258</v>
      </c>
      <c r="D231" s="17" t="s">
        <v>585</v>
      </c>
      <c r="E231" s="20">
        <v>634.88</v>
      </c>
      <c r="F231" s="20">
        <v>576.98</v>
      </c>
      <c r="G231" s="20">
        <v>529.1</v>
      </c>
      <c r="H231" s="20">
        <v>72.1</v>
      </c>
      <c r="I231" s="20">
        <v>115.36</v>
      </c>
      <c r="J231" s="20">
        <v>123.96</v>
      </c>
      <c r="K231" s="22">
        <v>262.47</v>
      </c>
      <c r="L231" s="20">
        <v>147.99</v>
      </c>
      <c r="M231" s="20">
        <v>256.2</v>
      </c>
      <c r="N231" s="20">
        <v>256.93</v>
      </c>
      <c r="O231" s="20">
        <v>393.14</v>
      </c>
      <c r="P231" s="20">
        <v>413.81</v>
      </c>
      <c r="Q231" s="20">
        <f t="shared" si="6"/>
        <v>3782.9199999999987</v>
      </c>
    </row>
    <row r="232" spans="1:17" ht="12.75">
      <c r="A232" s="73">
        <f t="shared" si="7"/>
        <v>225</v>
      </c>
      <c r="B232" s="9" t="s">
        <v>317</v>
      </c>
      <c r="C232" s="9">
        <v>21259</v>
      </c>
      <c r="D232" s="17" t="s">
        <v>585</v>
      </c>
      <c r="E232" s="20">
        <v>805.45</v>
      </c>
      <c r="F232" s="20">
        <v>632.82</v>
      </c>
      <c r="G232" s="20">
        <v>597.94</v>
      </c>
      <c r="H232" s="20">
        <v>547.43</v>
      </c>
      <c r="I232" s="20">
        <v>260.42</v>
      </c>
      <c r="J232" s="20">
        <v>287.85</v>
      </c>
      <c r="K232" s="22">
        <v>328.51</v>
      </c>
      <c r="L232" s="20">
        <v>261.01</v>
      </c>
      <c r="M232" s="20">
        <v>467.36</v>
      </c>
      <c r="N232" s="20">
        <v>478.74</v>
      </c>
      <c r="O232" s="20">
        <v>562.18</v>
      </c>
      <c r="P232" s="20">
        <v>658.28</v>
      </c>
      <c r="Q232" s="20">
        <f t="shared" si="6"/>
        <v>5887.99</v>
      </c>
    </row>
    <row r="233" spans="1:231" s="44" customFormat="1" ht="12.75">
      <c r="A233" s="73">
        <f t="shared" si="7"/>
        <v>226</v>
      </c>
      <c r="B233" s="9" t="s">
        <v>318</v>
      </c>
      <c r="C233" s="9">
        <v>21820</v>
      </c>
      <c r="D233" s="31" t="s">
        <v>588</v>
      </c>
      <c r="E233" s="20">
        <v>17520.15</v>
      </c>
      <c r="F233" s="20">
        <v>12733.35</v>
      </c>
      <c r="G233" s="20">
        <v>16739.84</v>
      </c>
      <c r="H233" s="20">
        <v>9116.85</v>
      </c>
      <c r="I233" s="20">
        <v>15355.95</v>
      </c>
      <c r="J233" s="20">
        <v>12461.87</v>
      </c>
      <c r="K233" s="22">
        <v>17266.37</v>
      </c>
      <c r="L233" s="20">
        <v>11848.16</v>
      </c>
      <c r="M233" s="20">
        <v>16598.65</v>
      </c>
      <c r="N233" s="20">
        <v>16625.74</v>
      </c>
      <c r="O233" s="20">
        <v>15037.12</v>
      </c>
      <c r="P233" s="20">
        <v>15278.71</v>
      </c>
      <c r="Q233" s="20">
        <f t="shared" si="6"/>
        <v>176582.75999999998</v>
      </c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</row>
    <row r="234" spans="1:231" s="44" customFormat="1" ht="12.75">
      <c r="A234" s="73">
        <f t="shared" si="7"/>
        <v>227</v>
      </c>
      <c r="B234" s="9" t="s">
        <v>319</v>
      </c>
      <c r="C234" s="9">
        <v>21260</v>
      </c>
      <c r="D234" s="17" t="s">
        <v>585</v>
      </c>
      <c r="E234" s="20">
        <v>1570.41</v>
      </c>
      <c r="F234" s="20">
        <v>1537.66</v>
      </c>
      <c r="G234" s="20">
        <v>1498.73</v>
      </c>
      <c r="H234" s="20">
        <v>1478.13</v>
      </c>
      <c r="I234" s="20">
        <v>141.43</v>
      </c>
      <c r="J234" s="20">
        <v>462.46</v>
      </c>
      <c r="K234" s="22">
        <v>856.17</v>
      </c>
      <c r="L234" s="20">
        <v>567.59</v>
      </c>
      <c r="M234" s="20">
        <v>1001.97</v>
      </c>
      <c r="N234" s="20">
        <v>1015.49</v>
      </c>
      <c r="O234" s="20">
        <v>1474.95</v>
      </c>
      <c r="P234" s="20">
        <v>1781.43</v>
      </c>
      <c r="Q234" s="20">
        <f t="shared" si="6"/>
        <v>13386.420000000002</v>
      </c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</row>
    <row r="235" spans="1:17" ht="12.75">
      <c r="A235" s="73">
        <f t="shared" si="7"/>
        <v>228</v>
      </c>
      <c r="B235" s="9" t="s">
        <v>320</v>
      </c>
      <c r="C235" s="9">
        <v>21261</v>
      </c>
      <c r="D235" s="17" t="s">
        <v>585</v>
      </c>
      <c r="E235" s="20">
        <v>1431.61</v>
      </c>
      <c r="F235" s="20">
        <v>2068.64</v>
      </c>
      <c r="G235" s="20">
        <v>2014.65</v>
      </c>
      <c r="H235" s="20">
        <v>1201.72</v>
      </c>
      <c r="I235" s="20">
        <v>1628.82</v>
      </c>
      <c r="J235" s="20">
        <v>1292.37</v>
      </c>
      <c r="K235" s="22">
        <v>1710.06</v>
      </c>
      <c r="L235" s="20">
        <v>1106.21</v>
      </c>
      <c r="M235" s="20">
        <v>1136.27</v>
      </c>
      <c r="N235" s="20">
        <v>1156.89</v>
      </c>
      <c r="O235" s="20">
        <v>1459.95</v>
      </c>
      <c r="P235" s="20">
        <v>1641.25</v>
      </c>
      <c r="Q235" s="20">
        <f t="shared" si="6"/>
        <v>17848.440000000002</v>
      </c>
    </row>
    <row r="236" spans="1:231" s="44" customFormat="1" ht="12.75">
      <c r="A236" s="73">
        <f t="shared" si="7"/>
        <v>229</v>
      </c>
      <c r="B236" s="9" t="s">
        <v>321</v>
      </c>
      <c r="C236" s="9">
        <v>21262</v>
      </c>
      <c r="D236" s="17" t="s">
        <v>585</v>
      </c>
      <c r="E236" s="20">
        <v>1050.54</v>
      </c>
      <c r="F236" s="20">
        <v>1329.23</v>
      </c>
      <c r="G236" s="20">
        <v>1275.24</v>
      </c>
      <c r="H236" s="20">
        <v>1001.1</v>
      </c>
      <c r="I236" s="20">
        <v>943.77</v>
      </c>
      <c r="J236" s="20">
        <v>812.49</v>
      </c>
      <c r="K236" s="22">
        <v>1085.79</v>
      </c>
      <c r="L236" s="20">
        <v>830.72</v>
      </c>
      <c r="M236" s="20">
        <v>1134.18</v>
      </c>
      <c r="N236" s="20">
        <v>1126.35</v>
      </c>
      <c r="O236" s="20">
        <v>1134.28</v>
      </c>
      <c r="P236" s="20">
        <v>1620.45</v>
      </c>
      <c r="Q236" s="20">
        <f t="shared" si="6"/>
        <v>13344.140000000003</v>
      </c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</row>
    <row r="237" spans="1:231" s="44" customFormat="1" ht="12.75">
      <c r="A237" s="73">
        <f t="shared" si="7"/>
        <v>230</v>
      </c>
      <c r="B237" s="9" t="s">
        <v>322</v>
      </c>
      <c r="C237" s="9">
        <v>21395</v>
      </c>
      <c r="D237" s="17">
        <v>0</v>
      </c>
      <c r="E237" s="21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2"/>
      <c r="L237" s="20"/>
      <c r="M237" s="20"/>
      <c r="N237" s="20"/>
      <c r="O237" s="20"/>
      <c r="P237" s="20"/>
      <c r="Q237" s="20">
        <f t="shared" si="6"/>
        <v>0</v>
      </c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</row>
    <row r="238" spans="1:17" ht="12.75">
      <c r="A238" s="73">
        <f t="shared" si="7"/>
        <v>231</v>
      </c>
      <c r="B238" s="10" t="s">
        <v>323</v>
      </c>
      <c r="C238" s="10"/>
      <c r="D238" s="45" t="s">
        <v>584</v>
      </c>
      <c r="E238" s="46"/>
      <c r="F238" s="43"/>
      <c r="G238" s="43"/>
      <c r="H238" s="43"/>
      <c r="I238" s="43"/>
      <c r="J238" s="43"/>
      <c r="K238" s="43"/>
      <c r="L238" s="43"/>
      <c r="M238" s="46"/>
      <c r="N238" s="46"/>
      <c r="O238" s="46"/>
      <c r="P238" s="46"/>
      <c r="Q238" s="43">
        <f t="shared" si="6"/>
        <v>0</v>
      </c>
    </row>
    <row r="239" spans="1:17" ht="12.75">
      <c r="A239" s="73">
        <f t="shared" si="7"/>
        <v>232</v>
      </c>
      <c r="B239" s="9" t="s">
        <v>324</v>
      </c>
      <c r="C239" s="9">
        <v>12224</v>
      </c>
      <c r="D239" s="17">
        <v>2</v>
      </c>
      <c r="E239" s="20">
        <v>135.6</v>
      </c>
      <c r="F239" s="20">
        <v>108.48</v>
      </c>
      <c r="G239" s="20">
        <v>94.92</v>
      </c>
      <c r="H239" s="20">
        <v>67.8</v>
      </c>
      <c r="I239" s="22">
        <v>40.68</v>
      </c>
      <c r="J239" s="20">
        <v>27.12</v>
      </c>
      <c r="K239" s="22">
        <f>ROUND(0.04*143.25,0)*3.53*2</f>
        <v>42.36</v>
      </c>
      <c r="L239" s="22">
        <f>ROUND(0.04*235.08,0)*3.53*2</f>
        <v>63.54</v>
      </c>
      <c r="M239" s="22">
        <f>ROUND(0.04*314.17,0)*3.53*2</f>
        <v>91.78</v>
      </c>
      <c r="N239" s="22">
        <f>ROUND(0.04*430.83,0)*3.53*2</f>
        <v>120.02</v>
      </c>
      <c r="O239" s="22">
        <f>ROUND(0.04*492.08,0)*3.53*2</f>
        <v>141.2</v>
      </c>
      <c r="P239" s="22">
        <f>ROUND(0.04*548.5,0)*3.53*2</f>
        <v>155.32</v>
      </c>
      <c r="Q239" s="20">
        <f t="shared" si="6"/>
        <v>1088.82</v>
      </c>
    </row>
    <row r="240" spans="1:17" ht="12.75">
      <c r="A240" s="73">
        <f t="shared" si="7"/>
        <v>233</v>
      </c>
      <c r="B240" s="9" t="s">
        <v>325</v>
      </c>
      <c r="C240" s="9">
        <v>12233</v>
      </c>
      <c r="D240" s="17">
        <v>2</v>
      </c>
      <c r="E240" s="20">
        <v>135.6</v>
      </c>
      <c r="F240" s="20">
        <v>108.48</v>
      </c>
      <c r="G240" s="20">
        <v>94.92</v>
      </c>
      <c r="H240" s="20">
        <v>67.8</v>
      </c>
      <c r="I240" s="22">
        <v>40.68</v>
      </c>
      <c r="J240" s="20">
        <v>27.12</v>
      </c>
      <c r="K240" s="22">
        <f>ROUND(0.04*143.25,0)*3.53*2</f>
        <v>42.36</v>
      </c>
      <c r="L240" s="22">
        <f>ROUND(0.04*235.08,0)*3.53*2</f>
        <v>63.54</v>
      </c>
      <c r="M240" s="22">
        <f>ROUND(0.04*314.17,0)*3.53*2</f>
        <v>91.78</v>
      </c>
      <c r="N240" s="22">
        <f>ROUND(0.04*430.83,0)*3.53*2</f>
        <v>120.02</v>
      </c>
      <c r="O240" s="22">
        <f>ROUND(0.04*492.08,0)*3.53*2</f>
        <v>141.2</v>
      </c>
      <c r="P240" s="22">
        <f>ROUND(0.04*548.5,0)*3.53*2</f>
        <v>155.32</v>
      </c>
      <c r="Q240" s="20">
        <f t="shared" si="6"/>
        <v>1088.82</v>
      </c>
    </row>
    <row r="241" spans="1:17" ht="12.75">
      <c r="A241" s="73">
        <f t="shared" si="7"/>
        <v>234</v>
      </c>
      <c r="B241" s="10" t="s">
        <v>326</v>
      </c>
      <c r="C241" s="10">
        <v>12228</v>
      </c>
      <c r="D241" s="45">
        <v>3</v>
      </c>
      <c r="E241" s="43">
        <v>203.4</v>
      </c>
      <c r="F241" s="43">
        <v>162.72</v>
      </c>
      <c r="G241" s="43">
        <v>142.38</v>
      </c>
      <c r="H241" s="43">
        <v>101.7</v>
      </c>
      <c r="I241" s="43">
        <v>61.02</v>
      </c>
      <c r="J241" s="43">
        <v>40.68</v>
      </c>
      <c r="K241" s="43">
        <f>ROUND(0.04*143.25,0)*3.53*3</f>
        <v>63.54</v>
      </c>
      <c r="L241" s="43">
        <f>ROUND(0.04*235.08,0)*3.53*3</f>
        <v>95.31</v>
      </c>
      <c r="M241" s="43"/>
      <c r="N241" s="43"/>
      <c r="O241" s="43"/>
      <c r="P241" s="43"/>
      <c r="Q241" s="43">
        <f t="shared" si="6"/>
        <v>870.75</v>
      </c>
    </row>
    <row r="242" spans="1:17" ht="12.75">
      <c r="A242" s="73">
        <f t="shared" si="7"/>
        <v>235</v>
      </c>
      <c r="B242" s="9" t="s">
        <v>327</v>
      </c>
      <c r="C242" s="9">
        <v>12231</v>
      </c>
      <c r="D242" s="17">
        <v>2</v>
      </c>
      <c r="E242" s="20">
        <v>135.6</v>
      </c>
      <c r="F242" s="20">
        <v>108.48</v>
      </c>
      <c r="G242" s="20">
        <v>94.92</v>
      </c>
      <c r="H242" s="20">
        <v>67.8</v>
      </c>
      <c r="I242" s="22">
        <v>40.68</v>
      </c>
      <c r="J242" s="20">
        <v>27.12</v>
      </c>
      <c r="K242" s="22">
        <f>ROUND(0.04*143.25,0)*3.53*2</f>
        <v>42.36</v>
      </c>
      <c r="L242" s="22">
        <f>ROUND(0.04*235.08,0)*3.53*2</f>
        <v>63.54</v>
      </c>
      <c r="M242" s="22">
        <f>ROUND(0.04*314.17,0)*3.53*2</f>
        <v>91.78</v>
      </c>
      <c r="N242" s="22">
        <f>ROUND(0.04*430.83,0)*3.53*2</f>
        <v>120.02</v>
      </c>
      <c r="O242" s="22">
        <f>ROUND(0.04*492.08,0)*3.53*2</f>
        <v>141.2</v>
      </c>
      <c r="P242" s="22">
        <f>ROUND(0.04*548.5,0)*3.53*2</f>
        <v>155.32</v>
      </c>
      <c r="Q242" s="20">
        <f aca="true" t="shared" si="8" ref="Q242:Q305">E242+F242+G242+H242+I242+J242+K242+L242+M242+N242+O242+P242</f>
        <v>1088.82</v>
      </c>
    </row>
    <row r="243" spans="1:17" ht="12.75">
      <c r="A243" s="73">
        <f t="shared" si="7"/>
        <v>236</v>
      </c>
      <c r="B243" s="9" t="s">
        <v>328</v>
      </c>
      <c r="C243" s="9">
        <v>12239</v>
      </c>
      <c r="D243" s="17">
        <v>10</v>
      </c>
      <c r="E243" s="20">
        <v>678</v>
      </c>
      <c r="F243" s="20">
        <v>542.4</v>
      </c>
      <c r="G243" s="20">
        <v>474.6</v>
      </c>
      <c r="H243" s="20">
        <v>339</v>
      </c>
      <c r="I243" s="20">
        <v>203.4</v>
      </c>
      <c r="J243" s="20">
        <v>135.6</v>
      </c>
      <c r="K243" s="22">
        <f>ROUND(0.04*143.25,0)*3.53*10</f>
        <v>211.8</v>
      </c>
      <c r="L243" s="22">
        <f>ROUND(0.04*235.08,0)*3.53*10</f>
        <v>317.7</v>
      </c>
      <c r="M243" s="22">
        <f>ROUND(0.04*314.17,0)*3.53*10</f>
        <v>458.9</v>
      </c>
      <c r="N243" s="22">
        <f>ROUND(0.04*430.83,0)*3.53*10</f>
        <v>600.1</v>
      </c>
      <c r="O243" s="22">
        <f>ROUND(0.04*492.08,0)*3.53*10</f>
        <v>706</v>
      </c>
      <c r="P243" s="22">
        <f>ROUND(0.04*548.5,0)*3.53*10</f>
        <v>776.5999999999999</v>
      </c>
      <c r="Q243" s="20">
        <f t="shared" si="8"/>
        <v>5444.1</v>
      </c>
    </row>
    <row r="244" spans="1:17" ht="12.75">
      <c r="A244" s="73">
        <f t="shared" si="7"/>
        <v>237</v>
      </c>
      <c r="B244" s="9" t="s">
        <v>329</v>
      </c>
      <c r="C244" s="9">
        <v>12240</v>
      </c>
      <c r="D244" s="17">
        <v>10</v>
      </c>
      <c r="E244" s="20">
        <v>678</v>
      </c>
      <c r="F244" s="20">
        <v>542.4</v>
      </c>
      <c r="G244" s="20">
        <v>474.6</v>
      </c>
      <c r="H244" s="20">
        <v>339</v>
      </c>
      <c r="I244" s="20">
        <v>203.4</v>
      </c>
      <c r="J244" s="20">
        <v>135.6</v>
      </c>
      <c r="K244" s="22">
        <f>ROUND(0.04*143.25,0)*3.53*10</f>
        <v>211.8</v>
      </c>
      <c r="L244" s="22">
        <f>ROUND(0.04*235.08,0)*3.53*10</f>
        <v>317.7</v>
      </c>
      <c r="M244" s="22">
        <f>ROUND(0.04*314.17,0)*3.53*10</f>
        <v>458.9</v>
      </c>
      <c r="N244" s="22">
        <f>ROUND(0.04*430.83,0)*3.53*10</f>
        <v>600.1</v>
      </c>
      <c r="O244" s="22">
        <f>ROUND(0.04*492.08,0)*3.53*10</f>
        <v>706</v>
      </c>
      <c r="P244" s="22">
        <f>ROUND(0.04*548.5,0)*3.53*10</f>
        <v>776.5999999999999</v>
      </c>
      <c r="Q244" s="20">
        <f t="shared" si="8"/>
        <v>5444.1</v>
      </c>
    </row>
    <row r="245" spans="1:17" ht="12.75">
      <c r="A245" s="73">
        <f t="shared" si="7"/>
        <v>238</v>
      </c>
      <c r="B245" s="9" t="s">
        <v>330</v>
      </c>
      <c r="C245" s="9">
        <v>12242</v>
      </c>
      <c r="D245" s="17" t="s">
        <v>584</v>
      </c>
      <c r="E245" s="21"/>
      <c r="F245" s="20"/>
      <c r="G245" s="20"/>
      <c r="H245" s="20"/>
      <c r="I245" s="20"/>
      <c r="J245" s="20"/>
      <c r="K245" s="22"/>
      <c r="L245" s="20"/>
      <c r="M245" s="20"/>
      <c r="N245" s="20"/>
      <c r="O245" s="20"/>
      <c r="P245" s="20"/>
      <c r="Q245" s="20">
        <f t="shared" si="8"/>
        <v>0</v>
      </c>
    </row>
    <row r="246" spans="1:17" ht="12.75">
      <c r="A246" s="73">
        <f t="shared" si="7"/>
        <v>239</v>
      </c>
      <c r="B246" s="9" t="s">
        <v>331</v>
      </c>
      <c r="C246" s="9">
        <v>12235</v>
      </c>
      <c r="D246" s="17">
        <v>3</v>
      </c>
      <c r="E246" s="20">
        <v>203.4</v>
      </c>
      <c r="F246" s="20">
        <v>162.72</v>
      </c>
      <c r="G246" s="20">
        <v>142.38</v>
      </c>
      <c r="H246" s="20">
        <v>101.7</v>
      </c>
      <c r="I246" s="20">
        <v>61.02</v>
      </c>
      <c r="J246" s="20">
        <v>40.68</v>
      </c>
      <c r="K246" s="22">
        <f>ROUND(0.04*143.25,0)*3.53*3</f>
        <v>63.54</v>
      </c>
      <c r="L246" s="22">
        <f>ROUND(0.04*235.08,0)*3.53*3</f>
        <v>95.31</v>
      </c>
      <c r="M246" s="22">
        <f>ROUND(0.04*314.17,0)*3.53*3</f>
        <v>137.67000000000002</v>
      </c>
      <c r="N246" s="22">
        <f>ROUND(0.04*430.83,0)*3.53*3</f>
        <v>180.03</v>
      </c>
      <c r="O246" s="22">
        <f>ROUND(0.04*492.08,0)*3.53*3</f>
        <v>211.79999999999998</v>
      </c>
      <c r="P246" s="22">
        <f>ROUND(0.04*548.5,0)*3.53*3</f>
        <v>232.98</v>
      </c>
      <c r="Q246" s="20">
        <f t="shared" si="8"/>
        <v>1633.23</v>
      </c>
    </row>
    <row r="247" spans="1:17" ht="12.75">
      <c r="A247" s="73">
        <f t="shared" si="7"/>
        <v>240</v>
      </c>
      <c r="B247" s="9" t="s">
        <v>332</v>
      </c>
      <c r="C247" s="9">
        <v>12238</v>
      </c>
      <c r="D247" s="17">
        <v>15</v>
      </c>
      <c r="E247" s="20">
        <v>1017</v>
      </c>
      <c r="F247" s="20">
        <v>813.6</v>
      </c>
      <c r="G247" s="20">
        <v>711.9</v>
      </c>
      <c r="H247" s="20">
        <v>508.5</v>
      </c>
      <c r="I247" s="20">
        <v>305.1</v>
      </c>
      <c r="J247" s="20">
        <v>203.4</v>
      </c>
      <c r="K247" s="22">
        <f>ROUND(0.04*143.25,0)*3.53*15</f>
        <v>317.7</v>
      </c>
      <c r="L247" s="22">
        <f>ROUND(0.04*235.08,0)*3.53*15</f>
        <v>476.55</v>
      </c>
      <c r="M247" s="22">
        <f>ROUND(0.04*314.17,0)*3.53*15</f>
        <v>688.35</v>
      </c>
      <c r="N247" s="22">
        <f>ROUND(0.04*430.83,0)*3.53*15</f>
        <v>900.15</v>
      </c>
      <c r="O247" s="22">
        <f>ROUND(0.04*492.08,0)*3.53*15</f>
        <v>1059</v>
      </c>
      <c r="P247" s="22">
        <f>ROUND(0.04*548.5,0)*3.53*15</f>
        <v>1164.8999999999999</v>
      </c>
      <c r="Q247" s="20">
        <f t="shared" si="8"/>
        <v>8166.15</v>
      </c>
    </row>
    <row r="248" spans="1:17" ht="12.75">
      <c r="A248" s="73">
        <f t="shared" si="7"/>
        <v>241</v>
      </c>
      <c r="B248" s="47" t="s">
        <v>605</v>
      </c>
      <c r="C248" s="10"/>
      <c r="D248" s="225">
        <v>3</v>
      </c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>
        <f t="shared" si="8"/>
        <v>0</v>
      </c>
    </row>
    <row r="249" spans="1:17" ht="12.75">
      <c r="A249" s="73">
        <f t="shared" si="7"/>
        <v>242</v>
      </c>
      <c r="B249" s="9" t="s">
        <v>333</v>
      </c>
      <c r="C249" s="9">
        <v>12254</v>
      </c>
      <c r="D249" s="17">
        <v>0</v>
      </c>
      <c r="E249" s="21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2"/>
      <c r="L249" s="20"/>
      <c r="M249" s="20"/>
      <c r="N249" s="20"/>
      <c r="O249" s="20"/>
      <c r="P249" s="20"/>
      <c r="Q249" s="20">
        <f t="shared" si="8"/>
        <v>0</v>
      </c>
    </row>
    <row r="250" spans="1:17" ht="12.75">
      <c r="A250" s="73">
        <f t="shared" si="7"/>
        <v>243</v>
      </c>
      <c r="B250" s="47" t="s">
        <v>606</v>
      </c>
      <c r="C250" s="10"/>
      <c r="D250" s="225">
        <v>3</v>
      </c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>
        <f t="shared" si="8"/>
        <v>0</v>
      </c>
    </row>
    <row r="251" spans="1:231" s="44" customFormat="1" ht="12.75">
      <c r="A251" s="73">
        <f t="shared" si="7"/>
        <v>244</v>
      </c>
      <c r="B251" s="47" t="s">
        <v>607</v>
      </c>
      <c r="C251" s="10"/>
      <c r="D251" s="225">
        <v>0</v>
      </c>
      <c r="E251" s="46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/>
      <c r="L251" s="43"/>
      <c r="M251" s="43"/>
      <c r="N251" s="43"/>
      <c r="O251" s="43"/>
      <c r="P251" s="43"/>
      <c r="Q251" s="43">
        <f t="shared" si="8"/>
        <v>0</v>
      </c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</row>
    <row r="252" spans="1:231" s="44" customFormat="1" ht="12.75">
      <c r="A252" s="73">
        <f t="shared" si="7"/>
        <v>245</v>
      </c>
      <c r="B252" s="9" t="s">
        <v>334</v>
      </c>
      <c r="C252" s="9">
        <v>12262</v>
      </c>
      <c r="D252" s="17">
        <v>3</v>
      </c>
      <c r="E252" s="20">
        <v>203.4</v>
      </c>
      <c r="F252" s="20">
        <v>162.72</v>
      </c>
      <c r="G252" s="20">
        <v>142.38</v>
      </c>
      <c r="H252" s="20">
        <v>101.7</v>
      </c>
      <c r="I252" s="20">
        <v>61.02</v>
      </c>
      <c r="J252" s="20">
        <v>40.68</v>
      </c>
      <c r="K252" s="22">
        <f>ROUND(0.04*143.25,0)*3.53*3</f>
        <v>63.54</v>
      </c>
      <c r="L252" s="22">
        <f>ROUND(0.04*235.08,0)*3.53*3</f>
        <v>95.31</v>
      </c>
      <c r="M252" s="22">
        <f>ROUND(0.04*314.17,0)*3.53*3</f>
        <v>137.67000000000002</v>
      </c>
      <c r="N252" s="22">
        <f>ROUND(0.04*430.83,0)*3.53*3</f>
        <v>180.03</v>
      </c>
      <c r="O252" s="22">
        <f>ROUND(0.04*492.08,0)*3.53*3</f>
        <v>211.79999999999998</v>
      </c>
      <c r="P252" s="22">
        <f>ROUND(0.04*548.5,0)*3.53*3</f>
        <v>232.98</v>
      </c>
      <c r="Q252" s="20">
        <f t="shared" si="8"/>
        <v>1633.23</v>
      </c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</row>
    <row r="253" spans="1:17" ht="12.75">
      <c r="A253" s="73">
        <f t="shared" si="7"/>
        <v>246</v>
      </c>
      <c r="B253" s="9" t="s">
        <v>335</v>
      </c>
      <c r="C253" s="9">
        <v>12266</v>
      </c>
      <c r="D253" s="17">
        <v>3</v>
      </c>
      <c r="E253" s="20">
        <v>203.4</v>
      </c>
      <c r="F253" s="20">
        <v>162.72</v>
      </c>
      <c r="G253" s="20">
        <v>142.38</v>
      </c>
      <c r="H253" s="20">
        <v>101.7</v>
      </c>
      <c r="I253" s="20">
        <v>61.02</v>
      </c>
      <c r="J253" s="20">
        <v>40.68</v>
      </c>
      <c r="K253" s="22">
        <f>ROUND(0.04*143.25,0)*3.53*3</f>
        <v>63.54</v>
      </c>
      <c r="L253" s="22">
        <f>ROUND(0.04*235.08,0)*3.53*3</f>
        <v>95.31</v>
      </c>
      <c r="M253" s="22">
        <f>ROUND(0.04*314.17,0)*3.53*3</f>
        <v>137.67000000000002</v>
      </c>
      <c r="N253" s="22">
        <f>ROUND(0.04*430.83,0)*3.53*3</f>
        <v>180.03</v>
      </c>
      <c r="O253" s="22">
        <f>ROUND(0.04*492.08,0)*3.53*3</f>
        <v>211.79999999999998</v>
      </c>
      <c r="P253" s="22">
        <f>ROUND(0.04*548.5,0)*3.53*3</f>
        <v>232.98</v>
      </c>
      <c r="Q253" s="20">
        <f t="shared" si="8"/>
        <v>1633.23</v>
      </c>
    </row>
    <row r="254" spans="1:17" ht="12.75">
      <c r="A254" s="73">
        <f t="shared" si="7"/>
        <v>247</v>
      </c>
      <c r="B254" s="9" t="s">
        <v>336</v>
      </c>
      <c r="C254" s="9">
        <v>12267</v>
      </c>
      <c r="D254" s="17">
        <v>3</v>
      </c>
      <c r="E254" s="20">
        <v>203.4</v>
      </c>
      <c r="F254" s="20">
        <v>162.72</v>
      </c>
      <c r="G254" s="20">
        <v>142.38</v>
      </c>
      <c r="H254" s="20">
        <v>101.7</v>
      </c>
      <c r="I254" s="20">
        <v>61.02</v>
      </c>
      <c r="J254" s="20">
        <v>40.68</v>
      </c>
      <c r="K254" s="22">
        <f>ROUND(0.04*143.25,0)*3.53*3</f>
        <v>63.54</v>
      </c>
      <c r="L254" s="22">
        <f>ROUND(0.04*235.08,0)*3.53*3</f>
        <v>95.31</v>
      </c>
      <c r="M254" s="22">
        <f>ROUND(0.04*314.17,0)*3.53*3</f>
        <v>137.67000000000002</v>
      </c>
      <c r="N254" s="22">
        <f>ROUND(0.04*430.83,0)*3.53*3</f>
        <v>180.03</v>
      </c>
      <c r="O254" s="22">
        <f>ROUND(0.04*492.08,0)*3.53*3</f>
        <v>211.79999999999998</v>
      </c>
      <c r="P254" s="22">
        <f>ROUND(0.04*548.5,0)*3.53*3</f>
        <v>232.98</v>
      </c>
      <c r="Q254" s="20">
        <f t="shared" si="8"/>
        <v>1633.23</v>
      </c>
    </row>
    <row r="255" spans="1:17" ht="12.75">
      <c r="A255" s="73">
        <f t="shared" si="7"/>
        <v>248</v>
      </c>
      <c r="B255" s="10" t="s">
        <v>337</v>
      </c>
      <c r="C255" s="10">
        <v>12269</v>
      </c>
      <c r="D255" s="45" t="s">
        <v>584</v>
      </c>
      <c r="E255" s="46">
        <v>0</v>
      </c>
      <c r="F255" s="43">
        <v>0</v>
      </c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>
        <f t="shared" si="8"/>
        <v>0</v>
      </c>
    </row>
    <row r="256" spans="1:17" ht="12.75">
      <c r="A256" s="73">
        <f t="shared" si="7"/>
        <v>249</v>
      </c>
      <c r="B256" s="9" t="s">
        <v>338</v>
      </c>
      <c r="C256" s="9">
        <v>12273</v>
      </c>
      <c r="D256" s="17">
        <v>13</v>
      </c>
      <c r="E256" s="20">
        <v>881.4</v>
      </c>
      <c r="F256" s="20">
        <v>705.12</v>
      </c>
      <c r="G256" s="20">
        <v>616.98</v>
      </c>
      <c r="H256" s="20">
        <v>440.7</v>
      </c>
      <c r="I256" s="20">
        <v>264.42</v>
      </c>
      <c r="J256" s="20">
        <v>176.28</v>
      </c>
      <c r="K256" s="22">
        <f>ROUND(0.04*143.25,0)*3.53*13</f>
        <v>275.34</v>
      </c>
      <c r="L256" s="22">
        <f>ROUND(0.04*235.08,0)*3.53*13</f>
        <v>413.01</v>
      </c>
      <c r="M256" s="22">
        <f>ROUND(0.04*314.17,0)*3.53*13</f>
        <v>596.57</v>
      </c>
      <c r="N256" s="22">
        <f>ROUND(0.04*430.83,0)*3.53*13</f>
        <v>780.13</v>
      </c>
      <c r="O256" s="22">
        <f>ROUND(0.04*492.08,0)*3.53*13</f>
        <v>917.8</v>
      </c>
      <c r="P256" s="22">
        <f>ROUND(0.04*548.5,0)*3.53*13</f>
        <v>1009.5799999999999</v>
      </c>
      <c r="Q256" s="20">
        <f t="shared" si="8"/>
        <v>7077.33</v>
      </c>
    </row>
    <row r="257" spans="1:17" ht="12.75">
      <c r="A257" s="73">
        <f t="shared" si="7"/>
        <v>250</v>
      </c>
      <c r="B257" s="9" t="s">
        <v>339</v>
      </c>
      <c r="C257" s="9">
        <v>21664</v>
      </c>
      <c r="D257" s="17">
        <v>1</v>
      </c>
      <c r="E257" s="21">
        <v>67.8</v>
      </c>
      <c r="F257" s="20">
        <v>54.24</v>
      </c>
      <c r="G257" s="20">
        <v>47.46</v>
      </c>
      <c r="H257" s="20">
        <v>33.9</v>
      </c>
      <c r="I257" s="20">
        <v>20.34</v>
      </c>
      <c r="J257" s="20">
        <v>13.56</v>
      </c>
      <c r="K257" s="22">
        <f>ROUND(0.04*143.25,0)*3.53</f>
        <v>21.18</v>
      </c>
      <c r="L257" s="22">
        <f>ROUND(0.04*235.08,0)*3.53</f>
        <v>31.77</v>
      </c>
      <c r="M257" s="22">
        <f>ROUND(0.04*314.17,0)*3.53</f>
        <v>45.89</v>
      </c>
      <c r="N257" s="22">
        <f>ROUND(0.04*430.83,0)*3.53</f>
        <v>60.01</v>
      </c>
      <c r="O257" s="22">
        <f>ROUND(0.04*492.08,0)*3.53</f>
        <v>70.6</v>
      </c>
      <c r="P257" s="22">
        <f>ROUND(0.04*548.5,0)*3.53</f>
        <v>77.66</v>
      </c>
      <c r="Q257" s="20">
        <f t="shared" si="8"/>
        <v>544.41</v>
      </c>
    </row>
    <row r="258" spans="1:17" ht="12.75">
      <c r="A258" s="73">
        <f t="shared" si="7"/>
        <v>251</v>
      </c>
      <c r="B258" s="9" t="s">
        <v>340</v>
      </c>
      <c r="C258" s="9">
        <v>21667</v>
      </c>
      <c r="D258" s="17">
        <v>2</v>
      </c>
      <c r="E258" s="20">
        <v>135.6</v>
      </c>
      <c r="F258" s="20">
        <v>108.48</v>
      </c>
      <c r="G258" s="20">
        <v>94.92</v>
      </c>
      <c r="H258" s="20">
        <v>67.8</v>
      </c>
      <c r="I258" s="22">
        <v>40.68</v>
      </c>
      <c r="J258" s="20">
        <v>27.12</v>
      </c>
      <c r="K258" s="22">
        <f>ROUND(0.04*143.25,0)*3.53*2</f>
        <v>42.36</v>
      </c>
      <c r="L258" s="22">
        <f>ROUND(0.04*235.08,0)*3.53*2</f>
        <v>63.54</v>
      </c>
      <c r="M258" s="22">
        <f>ROUND(0.04*314.17,0)*3.53*2</f>
        <v>91.78</v>
      </c>
      <c r="N258" s="22">
        <f>ROUND(0.04*430.83,0)*3.53*2</f>
        <v>120.02</v>
      </c>
      <c r="O258" s="22">
        <f>ROUND(0.04*492.08,0)*3.53*2</f>
        <v>141.2</v>
      </c>
      <c r="P258" s="22">
        <f>ROUND(0.04*548.5,0)*3.53*2</f>
        <v>155.32</v>
      </c>
      <c r="Q258" s="20">
        <f t="shared" si="8"/>
        <v>1088.82</v>
      </c>
    </row>
    <row r="259" spans="1:17" ht="12.75">
      <c r="A259" s="73">
        <f t="shared" si="7"/>
        <v>252</v>
      </c>
      <c r="B259" s="10" t="s">
        <v>341</v>
      </c>
      <c r="C259" s="10">
        <v>21398</v>
      </c>
      <c r="D259" s="45" t="s">
        <v>584</v>
      </c>
      <c r="E259" s="46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>
        <f t="shared" si="8"/>
        <v>0</v>
      </c>
    </row>
    <row r="260" spans="1:17" ht="12.75">
      <c r="A260" s="73">
        <f t="shared" si="7"/>
        <v>253</v>
      </c>
      <c r="B260" s="9" t="s">
        <v>342</v>
      </c>
      <c r="C260" s="9">
        <v>21263</v>
      </c>
      <c r="D260" s="17">
        <v>0</v>
      </c>
      <c r="E260" s="21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2"/>
      <c r="L260" s="20"/>
      <c r="M260" s="20"/>
      <c r="N260" s="20"/>
      <c r="O260" s="20"/>
      <c r="P260" s="20"/>
      <c r="Q260" s="20">
        <f t="shared" si="8"/>
        <v>0</v>
      </c>
    </row>
    <row r="261" spans="1:17" ht="12.75">
      <c r="A261" s="73">
        <f t="shared" si="7"/>
        <v>254</v>
      </c>
      <c r="B261" s="9" t="s">
        <v>343</v>
      </c>
      <c r="C261" s="9">
        <v>21264</v>
      </c>
      <c r="D261" s="17">
        <v>0</v>
      </c>
      <c r="E261" s="21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2"/>
      <c r="L261" s="20"/>
      <c r="M261" s="20"/>
      <c r="N261" s="20"/>
      <c r="O261" s="20"/>
      <c r="P261" s="20"/>
      <c r="Q261" s="20">
        <f t="shared" si="8"/>
        <v>0</v>
      </c>
    </row>
    <row r="262" spans="1:17" ht="12.75">
      <c r="A262" s="73">
        <f t="shared" si="7"/>
        <v>255</v>
      </c>
      <c r="B262" s="10" t="s">
        <v>344</v>
      </c>
      <c r="C262" s="10">
        <v>21265</v>
      </c>
      <c r="D262" s="45" t="s">
        <v>584</v>
      </c>
      <c r="E262" s="46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>
        <f t="shared" si="8"/>
        <v>0</v>
      </c>
    </row>
    <row r="263" spans="1:17" ht="12.75">
      <c r="A263" s="73">
        <f t="shared" si="7"/>
        <v>256</v>
      </c>
      <c r="B263" s="9" t="s">
        <v>345</v>
      </c>
      <c r="C263" s="9">
        <v>12085</v>
      </c>
      <c r="D263" s="17">
        <v>8</v>
      </c>
      <c r="E263" s="20">
        <v>542.4</v>
      </c>
      <c r="F263" s="20">
        <v>433.92</v>
      </c>
      <c r="G263" s="20">
        <v>379.68</v>
      </c>
      <c r="H263" s="20">
        <v>271.2</v>
      </c>
      <c r="I263" s="20">
        <v>162.72</v>
      </c>
      <c r="J263" s="20">
        <v>108.48</v>
      </c>
      <c r="K263" s="22">
        <f>ROUND(0.04*143.25,0)*3.53*8</f>
        <v>169.44</v>
      </c>
      <c r="L263" s="22">
        <f>ROUND(0.04*235.08,0)*3.53*8</f>
        <v>254.16</v>
      </c>
      <c r="M263" s="22">
        <f>ROUND(0.04*314.17,0)*3.53*8</f>
        <v>367.12</v>
      </c>
      <c r="N263" s="22">
        <f>ROUND(0.04*430.83,0)*3.53*8</f>
        <v>480.08</v>
      </c>
      <c r="O263" s="22">
        <f>ROUND(0.04*492.08,0)*3.53*8</f>
        <v>564.8</v>
      </c>
      <c r="P263" s="22">
        <f>ROUND(0.04*548.5,0)*3.53*8</f>
        <v>621.28</v>
      </c>
      <c r="Q263" s="20">
        <f t="shared" si="8"/>
        <v>4355.28</v>
      </c>
    </row>
    <row r="264" spans="1:17" ht="12.75">
      <c r="A264" s="73">
        <f t="shared" si="7"/>
        <v>257</v>
      </c>
      <c r="B264" s="9" t="s">
        <v>346</v>
      </c>
      <c r="C264" s="9">
        <v>12086</v>
      </c>
      <c r="D264" s="17">
        <v>14</v>
      </c>
      <c r="E264" s="20">
        <v>949.2</v>
      </c>
      <c r="F264" s="20">
        <v>759.36</v>
      </c>
      <c r="G264" s="20">
        <v>664.44</v>
      </c>
      <c r="H264" s="20">
        <v>474.6</v>
      </c>
      <c r="I264" s="20">
        <v>284.76</v>
      </c>
      <c r="J264" s="20">
        <v>189.84</v>
      </c>
      <c r="K264" s="22">
        <f>ROUND(0.04*143.25,0)*3.53*14</f>
        <v>296.52</v>
      </c>
      <c r="L264" s="22">
        <f>ROUND(0.04*235.08,0)*3.53*14</f>
        <v>444.78</v>
      </c>
      <c r="M264" s="22">
        <f>ROUND(0.04*314.17,0)*3.53*14</f>
        <v>642.46</v>
      </c>
      <c r="N264" s="22">
        <f>ROUND(0.04*430.83,0)*3.53*14</f>
        <v>840.14</v>
      </c>
      <c r="O264" s="22">
        <f>ROUND(0.04*492.08,0)*3.53*14</f>
        <v>988.3999999999999</v>
      </c>
      <c r="P264" s="22">
        <f>ROUND(0.04*548.5,0)*3.53*14</f>
        <v>1087.24</v>
      </c>
      <c r="Q264" s="20">
        <f t="shared" si="8"/>
        <v>7621.74</v>
      </c>
    </row>
    <row r="265" spans="1:17" ht="12.75">
      <c r="A265" s="73">
        <f t="shared" si="7"/>
        <v>258</v>
      </c>
      <c r="B265" s="9" t="s">
        <v>347</v>
      </c>
      <c r="C265" s="9">
        <v>12088</v>
      </c>
      <c r="D265" s="17">
        <v>15</v>
      </c>
      <c r="E265" s="20">
        <v>1017</v>
      </c>
      <c r="F265" s="20">
        <v>813.6</v>
      </c>
      <c r="G265" s="20">
        <v>711.9</v>
      </c>
      <c r="H265" s="20">
        <v>508.5</v>
      </c>
      <c r="I265" s="20">
        <v>305.1</v>
      </c>
      <c r="J265" s="20">
        <v>203.4</v>
      </c>
      <c r="K265" s="22">
        <f>ROUND(0.04*143.25,0)*3.53*15</f>
        <v>317.7</v>
      </c>
      <c r="L265" s="22">
        <f>ROUND(0.04*235.08,0)*3.53*15</f>
        <v>476.55</v>
      </c>
      <c r="M265" s="22">
        <f>ROUND(0.04*314.17,0)*3.53*15</f>
        <v>688.35</v>
      </c>
      <c r="N265" s="22">
        <f>ROUND(0.04*430.83,0)*3.53*15</f>
        <v>900.15</v>
      </c>
      <c r="O265" s="22">
        <f>ROUND(0.04*492.08,0)*3.53*15</f>
        <v>1059</v>
      </c>
      <c r="P265" s="22">
        <f>ROUND(0.04*548.5,0)*3.53*15</f>
        <v>1164.8999999999999</v>
      </c>
      <c r="Q265" s="20">
        <f t="shared" si="8"/>
        <v>8166.15</v>
      </c>
    </row>
    <row r="266" spans="1:17" ht="12.75">
      <c r="A266" s="73">
        <f t="shared" si="7"/>
        <v>259</v>
      </c>
      <c r="B266" s="9" t="s">
        <v>348</v>
      </c>
      <c r="C266" s="9">
        <v>12093</v>
      </c>
      <c r="D266" s="17">
        <v>8</v>
      </c>
      <c r="E266" s="20">
        <v>542.4</v>
      </c>
      <c r="F266" s="20">
        <v>433.92</v>
      </c>
      <c r="G266" s="20">
        <v>379.68</v>
      </c>
      <c r="H266" s="20">
        <v>271.2</v>
      </c>
      <c r="I266" s="20">
        <v>162.72</v>
      </c>
      <c r="J266" s="20">
        <v>108.48</v>
      </c>
      <c r="K266" s="22">
        <f>ROUND(0.04*143.25,0)*3.53*8</f>
        <v>169.44</v>
      </c>
      <c r="L266" s="22">
        <f>ROUND(0.04*235.08,0)*3.53*8</f>
        <v>254.16</v>
      </c>
      <c r="M266" s="22">
        <f>ROUND(0.04*314.17,0)*3.53*8</f>
        <v>367.12</v>
      </c>
      <c r="N266" s="22">
        <f>ROUND(0.04*430.83,0)*3.53*8</f>
        <v>480.08</v>
      </c>
      <c r="O266" s="22">
        <f>ROUND(0.04*492.08,0)*3.53*8</f>
        <v>564.8</v>
      </c>
      <c r="P266" s="22">
        <f>ROUND(0.04*548.5,0)*3.53*8</f>
        <v>621.28</v>
      </c>
      <c r="Q266" s="20">
        <f t="shared" si="8"/>
        <v>4355.28</v>
      </c>
    </row>
    <row r="267" spans="1:17" ht="12.75">
      <c r="A267" s="73">
        <f t="shared" si="7"/>
        <v>260</v>
      </c>
      <c r="B267" s="9" t="s">
        <v>349</v>
      </c>
      <c r="C267" s="9">
        <v>12094</v>
      </c>
      <c r="D267" s="17">
        <v>13</v>
      </c>
      <c r="E267" s="20">
        <v>881.4</v>
      </c>
      <c r="F267" s="20">
        <v>705.12</v>
      </c>
      <c r="G267" s="20">
        <v>616.98</v>
      </c>
      <c r="H267" s="20">
        <v>440.7</v>
      </c>
      <c r="I267" s="20">
        <v>264.42</v>
      </c>
      <c r="J267" s="20">
        <v>176.28</v>
      </c>
      <c r="K267" s="22">
        <f>ROUND(0.04*143.25,0)*3.53*13</f>
        <v>275.34</v>
      </c>
      <c r="L267" s="22">
        <f>ROUND(0.04*235.08,0)*3.53*13</f>
        <v>413.01</v>
      </c>
      <c r="M267" s="22">
        <f>ROUND(0.04*314.17,0)*3.53*13</f>
        <v>596.57</v>
      </c>
      <c r="N267" s="22">
        <f>ROUND(0.04*430.83,0)*3.53*13</f>
        <v>780.13</v>
      </c>
      <c r="O267" s="22">
        <f>ROUND(0.04*492.08,0)*3.53*13</f>
        <v>917.8</v>
      </c>
      <c r="P267" s="22">
        <f>ROUND(0.04*548.5,0)*3.53*13</f>
        <v>1009.5799999999999</v>
      </c>
      <c r="Q267" s="20">
        <f t="shared" si="8"/>
        <v>7077.33</v>
      </c>
    </row>
    <row r="268" spans="1:231" s="44" customFormat="1" ht="12.75">
      <c r="A268" s="73">
        <f t="shared" si="7"/>
        <v>261</v>
      </c>
      <c r="B268" s="9" t="s">
        <v>350</v>
      </c>
      <c r="C268" s="9">
        <v>12611</v>
      </c>
      <c r="D268" s="17">
        <v>10</v>
      </c>
      <c r="E268" s="20">
        <v>678</v>
      </c>
      <c r="F268" s="20">
        <v>542.4</v>
      </c>
      <c r="G268" s="20">
        <v>474.6</v>
      </c>
      <c r="H268" s="20">
        <v>339</v>
      </c>
      <c r="I268" s="20">
        <v>203.4</v>
      </c>
      <c r="J268" s="20">
        <v>135.6</v>
      </c>
      <c r="K268" s="22">
        <f>ROUND(0.04*143.25,0)*3.53*10</f>
        <v>211.8</v>
      </c>
      <c r="L268" s="22">
        <f>ROUND(0.04*235.08,0)*3.53*10</f>
        <v>317.7</v>
      </c>
      <c r="M268" s="22">
        <f>ROUND(0.04*314.17,0)*3.53*10</f>
        <v>458.9</v>
      </c>
      <c r="N268" s="22">
        <f>ROUND(0.04*430.83,0)*3.53*10</f>
        <v>600.1</v>
      </c>
      <c r="O268" s="22">
        <f>ROUND(0.04*492.08,0)*3.53*10</f>
        <v>706</v>
      </c>
      <c r="P268" s="22">
        <f>ROUND(0.04*548.5,0)*3.53*10</f>
        <v>776.5999999999999</v>
      </c>
      <c r="Q268" s="20">
        <f t="shared" si="8"/>
        <v>5444.1</v>
      </c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</row>
    <row r="269" spans="1:17" ht="12.75">
      <c r="A269" s="73">
        <f aca="true" t="shared" si="9" ref="A269:A332">A268+1</f>
        <v>262</v>
      </c>
      <c r="B269" s="10" t="s">
        <v>351</v>
      </c>
      <c r="C269" s="10">
        <v>21402</v>
      </c>
      <c r="D269" s="45" t="s">
        <v>584</v>
      </c>
      <c r="E269" s="46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>
        <f t="shared" si="8"/>
        <v>0</v>
      </c>
    </row>
    <row r="270" spans="1:17" ht="12.75">
      <c r="A270" s="73">
        <f t="shared" si="9"/>
        <v>263</v>
      </c>
      <c r="B270" s="10" t="s">
        <v>352</v>
      </c>
      <c r="C270" s="10">
        <v>21668</v>
      </c>
      <c r="D270" s="45">
        <v>1</v>
      </c>
      <c r="E270" s="46">
        <v>67.8</v>
      </c>
      <c r="F270" s="43">
        <v>54.24</v>
      </c>
      <c r="G270" s="43">
        <v>47.46</v>
      </c>
      <c r="H270" s="43">
        <v>33.9</v>
      </c>
      <c r="I270" s="43">
        <v>20.34</v>
      </c>
      <c r="J270" s="43">
        <v>13.56</v>
      </c>
      <c r="K270" s="43">
        <f>ROUND(0.04*143.25,0)*3.53</f>
        <v>21.18</v>
      </c>
      <c r="L270" s="43">
        <f>ROUND(0.04*235.08,0)*3.53</f>
        <v>31.77</v>
      </c>
      <c r="M270" s="43"/>
      <c r="N270" s="43"/>
      <c r="O270" s="43"/>
      <c r="P270" s="43"/>
      <c r="Q270" s="43">
        <f t="shared" si="8"/>
        <v>290.25</v>
      </c>
    </row>
    <row r="271" spans="1:17" ht="12.75">
      <c r="A271" s="73">
        <f t="shared" si="9"/>
        <v>264</v>
      </c>
      <c r="B271" s="10" t="s">
        <v>353</v>
      </c>
      <c r="C271" s="10">
        <v>21672</v>
      </c>
      <c r="D271" s="45" t="s">
        <v>585</v>
      </c>
      <c r="E271" s="43">
        <v>351.15</v>
      </c>
      <c r="F271" s="43">
        <v>242.53</v>
      </c>
      <c r="G271" s="43">
        <v>200.05</v>
      </c>
      <c r="H271" s="43">
        <v>15.77</v>
      </c>
      <c r="I271" s="43">
        <v>10.94</v>
      </c>
      <c r="J271" s="43">
        <v>0</v>
      </c>
      <c r="K271" s="43">
        <v>0</v>
      </c>
      <c r="L271" s="43"/>
      <c r="M271" s="43"/>
      <c r="N271" s="43"/>
      <c r="O271" s="43"/>
      <c r="P271" s="43"/>
      <c r="Q271" s="43">
        <f t="shared" si="8"/>
        <v>820.44</v>
      </c>
    </row>
    <row r="272" spans="1:17" ht="12.75">
      <c r="A272" s="73">
        <f t="shared" si="9"/>
        <v>265</v>
      </c>
      <c r="B272" s="10" t="s">
        <v>354</v>
      </c>
      <c r="C272" s="10">
        <v>21673</v>
      </c>
      <c r="D272" s="45" t="s">
        <v>585</v>
      </c>
      <c r="E272" s="43">
        <v>768.79</v>
      </c>
      <c r="F272" s="43">
        <v>809.21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/>
      <c r="M272" s="43"/>
      <c r="N272" s="43"/>
      <c r="O272" s="43"/>
      <c r="P272" s="43"/>
      <c r="Q272" s="43">
        <f t="shared" si="8"/>
        <v>1578</v>
      </c>
    </row>
    <row r="273" spans="1:17" ht="12.75">
      <c r="A273" s="73">
        <f t="shared" si="9"/>
        <v>266</v>
      </c>
      <c r="B273" s="9" t="s">
        <v>355</v>
      </c>
      <c r="C273" s="9">
        <v>12098</v>
      </c>
      <c r="D273" s="17">
        <v>9</v>
      </c>
      <c r="E273" s="20">
        <v>610.2</v>
      </c>
      <c r="F273" s="20">
        <v>488.16</v>
      </c>
      <c r="G273" s="20">
        <v>427.14</v>
      </c>
      <c r="H273" s="20">
        <v>305.1</v>
      </c>
      <c r="I273" s="20">
        <v>183.06</v>
      </c>
      <c r="J273" s="20">
        <v>122.04</v>
      </c>
      <c r="K273" s="22">
        <f>ROUND(0.04*143.25,0)*3.53*9</f>
        <v>190.62</v>
      </c>
      <c r="L273" s="22">
        <f>ROUND(0.04*235.08,0)*3.53*9</f>
        <v>285.93</v>
      </c>
      <c r="M273" s="22">
        <f>ROUND(0.04*314.17,0)*3.53*9</f>
        <v>413.01</v>
      </c>
      <c r="N273" s="22">
        <f>ROUND(0.04*430.83,0)*3.53*9</f>
        <v>540.09</v>
      </c>
      <c r="O273" s="22">
        <f>ROUND(0.04*492.08,0)*3.53*9</f>
        <v>635.4</v>
      </c>
      <c r="P273" s="22">
        <f>ROUND(0.04*548.5,0)*3.53*9</f>
        <v>698.9399999999999</v>
      </c>
      <c r="Q273" s="20">
        <f t="shared" si="8"/>
        <v>4899.689999999999</v>
      </c>
    </row>
    <row r="274" spans="1:17" ht="12.75">
      <c r="A274" s="73">
        <f t="shared" si="9"/>
        <v>267</v>
      </c>
      <c r="B274" s="9" t="s">
        <v>356</v>
      </c>
      <c r="C274" s="9">
        <v>12099</v>
      </c>
      <c r="D274" s="17">
        <v>9</v>
      </c>
      <c r="E274" s="20">
        <v>610.2</v>
      </c>
      <c r="F274" s="20">
        <v>488.16</v>
      </c>
      <c r="G274" s="20">
        <v>427.14</v>
      </c>
      <c r="H274" s="20">
        <v>305.1</v>
      </c>
      <c r="I274" s="20">
        <v>183.06</v>
      </c>
      <c r="J274" s="20">
        <v>122.04</v>
      </c>
      <c r="K274" s="22">
        <f>ROUND(0.04*143.25,0)*3.53*9</f>
        <v>190.62</v>
      </c>
      <c r="L274" s="22">
        <f>ROUND(0.04*235.08,0)*3.53*9</f>
        <v>285.93</v>
      </c>
      <c r="M274" s="22">
        <f>ROUND(0.04*314.17,0)*3.53*9</f>
        <v>413.01</v>
      </c>
      <c r="N274" s="22">
        <f>ROUND(0.04*430.83,0)*3.53*9</f>
        <v>540.09</v>
      </c>
      <c r="O274" s="22">
        <f>ROUND(0.04*492.08,0)*3.53*9</f>
        <v>635.4</v>
      </c>
      <c r="P274" s="22">
        <f>ROUND(0.04*548.5,0)*3.53*9</f>
        <v>698.9399999999999</v>
      </c>
      <c r="Q274" s="20">
        <f t="shared" si="8"/>
        <v>4899.689999999999</v>
      </c>
    </row>
    <row r="275" spans="1:17" ht="12.75">
      <c r="A275" s="73">
        <f t="shared" si="9"/>
        <v>268</v>
      </c>
      <c r="B275" s="10" t="s">
        <v>357</v>
      </c>
      <c r="C275" s="10">
        <v>12104</v>
      </c>
      <c r="D275" s="45">
        <v>26</v>
      </c>
      <c r="E275" s="43">
        <v>1762.8</v>
      </c>
      <c r="F275" s="43">
        <v>1410.24</v>
      </c>
      <c r="G275" s="43">
        <v>1233.96</v>
      </c>
      <c r="H275" s="43">
        <v>881.4</v>
      </c>
      <c r="I275" s="43">
        <v>528.84</v>
      </c>
      <c r="J275" s="43">
        <v>352.56</v>
      </c>
      <c r="K275" s="50">
        <f>ROUND(0.04*143.25,0)*3.53*26</f>
        <v>550.68</v>
      </c>
      <c r="L275" s="43"/>
      <c r="M275" s="43"/>
      <c r="N275" s="43"/>
      <c r="O275" s="43"/>
      <c r="P275" s="43"/>
      <c r="Q275" s="43">
        <f t="shared" si="8"/>
        <v>6720.4800000000005</v>
      </c>
    </row>
    <row r="276" spans="1:17" ht="12.75">
      <c r="A276" s="73">
        <f t="shared" si="9"/>
        <v>269</v>
      </c>
      <c r="B276" s="10" t="s">
        <v>358</v>
      </c>
      <c r="C276" s="10">
        <v>12105</v>
      </c>
      <c r="D276" s="45">
        <v>8</v>
      </c>
      <c r="E276" s="43">
        <v>542.4</v>
      </c>
      <c r="F276" s="43">
        <v>433.92</v>
      </c>
      <c r="G276" s="43">
        <v>379.68</v>
      </c>
      <c r="H276" s="43">
        <v>271.2</v>
      </c>
      <c r="I276" s="43">
        <v>162.72</v>
      </c>
      <c r="J276" s="43">
        <v>108.48</v>
      </c>
      <c r="K276" s="43">
        <f>ROUND(0.04*143.25,0)*3.53*8</f>
        <v>169.44</v>
      </c>
      <c r="L276" s="43">
        <f>ROUND(0.04*235.08,0)*3.53*8</f>
        <v>254.16</v>
      </c>
      <c r="M276" s="43"/>
      <c r="N276" s="43"/>
      <c r="O276" s="43"/>
      <c r="P276" s="43"/>
      <c r="Q276" s="43">
        <f t="shared" si="8"/>
        <v>2322</v>
      </c>
    </row>
    <row r="277" spans="1:17" ht="12.75">
      <c r="A277" s="73">
        <f t="shared" si="9"/>
        <v>270</v>
      </c>
      <c r="B277" s="9" t="s">
        <v>562</v>
      </c>
      <c r="C277" s="11">
        <v>10006</v>
      </c>
      <c r="D277" s="17" t="s">
        <v>586</v>
      </c>
      <c r="E277" s="20"/>
      <c r="F277" s="20"/>
      <c r="G277" s="20"/>
      <c r="H277" s="20"/>
      <c r="I277" s="20"/>
      <c r="J277" s="20"/>
      <c r="K277" s="22"/>
      <c r="L277" s="20"/>
      <c r="M277" s="20"/>
      <c r="N277" s="20"/>
      <c r="O277" s="20"/>
      <c r="P277" s="20"/>
      <c r="Q277" s="20">
        <f t="shared" si="8"/>
        <v>0</v>
      </c>
    </row>
    <row r="278" spans="1:17" ht="12.75">
      <c r="A278" s="73">
        <f t="shared" si="9"/>
        <v>271</v>
      </c>
      <c r="B278" s="47" t="s">
        <v>618</v>
      </c>
      <c r="C278" s="10"/>
      <c r="D278" s="45" t="s">
        <v>586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>
        <f t="shared" si="8"/>
        <v>0</v>
      </c>
    </row>
    <row r="279" spans="1:17" ht="12.75">
      <c r="A279" s="73">
        <f t="shared" si="9"/>
        <v>272</v>
      </c>
      <c r="B279" s="9" t="s">
        <v>359</v>
      </c>
      <c r="C279" s="9">
        <v>12406</v>
      </c>
      <c r="D279" s="31" t="s">
        <v>588</v>
      </c>
      <c r="E279" s="20">
        <v>9574.67</v>
      </c>
      <c r="F279" s="20">
        <v>5104.61</v>
      </c>
      <c r="G279" s="20">
        <v>7231.69</v>
      </c>
      <c r="H279" s="20">
        <v>8029.9</v>
      </c>
      <c r="I279" s="20">
        <v>6828.82</v>
      </c>
      <c r="J279" s="20">
        <v>5503.12</v>
      </c>
      <c r="K279" s="22">
        <v>5217.03</v>
      </c>
      <c r="L279" s="20">
        <v>6635.63</v>
      </c>
      <c r="M279" s="20">
        <v>7237.32</v>
      </c>
      <c r="N279" s="20">
        <v>7201.37</v>
      </c>
      <c r="O279" s="20">
        <v>8298.94</v>
      </c>
      <c r="P279" s="20">
        <v>8028.89</v>
      </c>
      <c r="Q279" s="20">
        <f t="shared" si="8"/>
        <v>84891.98999999999</v>
      </c>
    </row>
    <row r="280" spans="1:17" ht="12.75">
      <c r="A280" s="73">
        <f t="shared" si="9"/>
        <v>273</v>
      </c>
      <c r="B280" s="10" t="s">
        <v>360</v>
      </c>
      <c r="C280" s="10">
        <v>12637</v>
      </c>
      <c r="D280" s="45">
        <v>0</v>
      </c>
      <c r="E280" s="46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/>
      <c r="L280" s="43"/>
      <c r="M280" s="43"/>
      <c r="N280" s="43"/>
      <c r="O280" s="43"/>
      <c r="P280" s="43"/>
      <c r="Q280" s="43">
        <f t="shared" si="8"/>
        <v>0</v>
      </c>
    </row>
    <row r="281" spans="1:17" ht="12.75">
      <c r="A281" s="73">
        <f t="shared" si="9"/>
        <v>274</v>
      </c>
      <c r="B281" s="10" t="s">
        <v>594</v>
      </c>
      <c r="C281" s="10"/>
      <c r="D281" s="45">
        <v>0</v>
      </c>
      <c r="E281" s="46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/>
      <c r="L281" s="43"/>
      <c r="M281" s="43"/>
      <c r="N281" s="43"/>
      <c r="O281" s="43"/>
      <c r="P281" s="43"/>
      <c r="Q281" s="43">
        <f t="shared" si="8"/>
        <v>0</v>
      </c>
    </row>
    <row r="282" spans="1:17" ht="12.75">
      <c r="A282" s="73">
        <f t="shared" si="9"/>
        <v>275</v>
      </c>
      <c r="B282" s="9" t="s">
        <v>361</v>
      </c>
      <c r="C282" s="9">
        <v>12407</v>
      </c>
      <c r="D282" s="31" t="s">
        <v>588</v>
      </c>
      <c r="E282" s="20">
        <v>6553.76</v>
      </c>
      <c r="F282" s="20">
        <v>2488</v>
      </c>
      <c r="G282" s="20">
        <v>5531.21</v>
      </c>
      <c r="H282" s="20">
        <v>6669.63</v>
      </c>
      <c r="I282" s="20">
        <v>6363.52</v>
      </c>
      <c r="J282" s="20">
        <v>5392.17</v>
      </c>
      <c r="K282" s="22">
        <v>5542.12</v>
      </c>
      <c r="L282" s="20">
        <v>6419.29</v>
      </c>
      <c r="M282" s="20">
        <v>5955.83</v>
      </c>
      <c r="N282" s="20">
        <v>5260.18</v>
      </c>
      <c r="O282" s="20">
        <v>8921.29</v>
      </c>
      <c r="P282" s="20">
        <v>6926.81</v>
      </c>
      <c r="Q282" s="20">
        <f t="shared" si="8"/>
        <v>72023.81000000001</v>
      </c>
    </row>
    <row r="283" spans="1:17" ht="12.75">
      <c r="A283" s="73">
        <f t="shared" si="9"/>
        <v>276</v>
      </c>
      <c r="B283" s="9" t="s">
        <v>362</v>
      </c>
      <c r="C283" s="9">
        <v>33005</v>
      </c>
      <c r="D283" s="17" t="s">
        <v>591</v>
      </c>
      <c r="E283" s="20"/>
      <c r="F283" s="20"/>
      <c r="G283" s="20"/>
      <c r="H283" s="20"/>
      <c r="I283" s="20"/>
      <c r="J283" s="20"/>
      <c r="K283" s="22"/>
      <c r="L283" s="20"/>
      <c r="M283" s="20"/>
      <c r="N283" s="20"/>
      <c r="O283" s="20"/>
      <c r="P283" s="20"/>
      <c r="Q283" s="20">
        <f t="shared" si="8"/>
        <v>0</v>
      </c>
    </row>
    <row r="284" spans="1:17" ht="12.75">
      <c r="A284" s="73">
        <f t="shared" si="9"/>
        <v>277</v>
      </c>
      <c r="B284" s="9" t="s">
        <v>363</v>
      </c>
      <c r="C284" s="9">
        <v>21824</v>
      </c>
      <c r="D284" s="17" t="s">
        <v>585</v>
      </c>
      <c r="E284" s="20">
        <v>298.37</v>
      </c>
      <c r="F284" s="20">
        <v>477.32</v>
      </c>
      <c r="G284" s="20">
        <v>331.9</v>
      </c>
      <c r="H284" s="20">
        <v>312.08</v>
      </c>
      <c r="I284" s="20">
        <v>67.27</v>
      </c>
      <c r="J284" s="20">
        <v>263.06</v>
      </c>
      <c r="K284" s="22">
        <v>510.14</v>
      </c>
      <c r="L284" s="20">
        <v>480.28</v>
      </c>
      <c r="M284" s="20">
        <v>539.22</v>
      </c>
      <c r="N284" s="20">
        <v>614.07</v>
      </c>
      <c r="O284" s="20">
        <v>651.56</v>
      </c>
      <c r="P284" s="20">
        <v>859.17</v>
      </c>
      <c r="Q284" s="20">
        <f t="shared" si="8"/>
        <v>5404.4400000000005</v>
      </c>
    </row>
    <row r="285" spans="1:17" ht="12.75">
      <c r="A285" s="73">
        <f t="shared" si="9"/>
        <v>278</v>
      </c>
      <c r="B285" s="9" t="s">
        <v>364</v>
      </c>
      <c r="C285" s="9">
        <v>21827</v>
      </c>
      <c r="D285" s="17" t="s">
        <v>585</v>
      </c>
      <c r="E285" s="20">
        <v>673.32</v>
      </c>
      <c r="F285" s="20">
        <v>596.88</v>
      </c>
      <c r="G285" s="20">
        <v>577.77</v>
      </c>
      <c r="H285" s="20">
        <v>455.58</v>
      </c>
      <c r="I285" s="20">
        <v>1887.2</v>
      </c>
      <c r="J285" s="20">
        <v>291.11</v>
      </c>
      <c r="K285" s="22">
        <v>510.79</v>
      </c>
      <c r="L285" s="20">
        <v>960.96</v>
      </c>
      <c r="M285" s="20">
        <v>1359.94</v>
      </c>
      <c r="N285" s="20">
        <v>1322.98</v>
      </c>
      <c r="O285" s="20">
        <v>902.4</v>
      </c>
      <c r="P285" s="20">
        <v>1386.58</v>
      </c>
      <c r="Q285" s="20">
        <f t="shared" si="8"/>
        <v>10925.509999999998</v>
      </c>
    </row>
    <row r="286" spans="1:17" ht="12.75">
      <c r="A286" s="73">
        <f t="shared" si="9"/>
        <v>279</v>
      </c>
      <c r="B286" s="9" t="s">
        <v>365</v>
      </c>
      <c r="C286" s="9">
        <v>21828</v>
      </c>
      <c r="D286" s="17" t="s">
        <v>585</v>
      </c>
      <c r="E286" s="20">
        <v>1616.74</v>
      </c>
      <c r="F286" s="20">
        <v>2500.05</v>
      </c>
      <c r="G286" s="20">
        <v>2238.19</v>
      </c>
      <c r="H286" s="20">
        <v>971.2</v>
      </c>
      <c r="I286" s="20">
        <v>1952.47</v>
      </c>
      <c r="J286" s="20">
        <v>1662.41</v>
      </c>
      <c r="K286" s="22">
        <v>1989.02</v>
      </c>
      <c r="L286" s="20">
        <v>1911.55</v>
      </c>
      <c r="M286" s="20">
        <v>1068.29</v>
      </c>
      <c r="N286" s="20">
        <v>1023.5</v>
      </c>
      <c r="O286" s="20">
        <v>940.19</v>
      </c>
      <c r="P286" s="20">
        <v>923.12</v>
      </c>
      <c r="Q286" s="20">
        <f t="shared" si="8"/>
        <v>18796.729999999996</v>
      </c>
    </row>
    <row r="287" spans="1:231" s="44" customFormat="1" ht="12.75">
      <c r="A287" s="73">
        <f t="shared" si="9"/>
        <v>280</v>
      </c>
      <c r="B287" s="9" t="s">
        <v>366</v>
      </c>
      <c r="C287" s="9">
        <v>21829</v>
      </c>
      <c r="D287" s="17" t="s">
        <v>585</v>
      </c>
      <c r="E287" s="20">
        <v>504.03</v>
      </c>
      <c r="F287" s="20">
        <v>769.58</v>
      </c>
      <c r="G287" s="20">
        <v>536.71</v>
      </c>
      <c r="H287" s="20">
        <v>243.24</v>
      </c>
      <c r="I287" s="20">
        <v>416.01</v>
      </c>
      <c r="J287" s="20">
        <v>324.44</v>
      </c>
      <c r="K287" s="22">
        <v>306.38</v>
      </c>
      <c r="L287" s="20">
        <v>512.38</v>
      </c>
      <c r="M287" s="20">
        <v>527.99</v>
      </c>
      <c r="N287" s="20">
        <v>510.19</v>
      </c>
      <c r="O287" s="20">
        <v>421.44</v>
      </c>
      <c r="P287" s="20">
        <v>591.31</v>
      </c>
      <c r="Q287" s="20">
        <f t="shared" si="8"/>
        <v>5663.700000000001</v>
      </c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</row>
    <row r="288" spans="1:17" ht="12.75">
      <c r="A288" s="73">
        <f t="shared" si="9"/>
        <v>281</v>
      </c>
      <c r="B288" s="9" t="s">
        <v>367</v>
      </c>
      <c r="C288" s="9">
        <v>12362</v>
      </c>
      <c r="D288" s="17" t="s">
        <v>585</v>
      </c>
      <c r="E288" s="20">
        <v>2688.84</v>
      </c>
      <c r="F288" s="20">
        <v>2093.51</v>
      </c>
      <c r="G288" s="20">
        <v>1457.63</v>
      </c>
      <c r="H288" s="20">
        <v>1179.07</v>
      </c>
      <c r="I288" s="20">
        <v>804.34</v>
      </c>
      <c r="J288" s="20">
        <v>685.28</v>
      </c>
      <c r="K288" s="22">
        <v>621.66</v>
      </c>
      <c r="L288" s="20">
        <v>1216.77</v>
      </c>
      <c r="M288" s="20">
        <v>1950.13</v>
      </c>
      <c r="N288" s="20">
        <v>575.72</v>
      </c>
      <c r="O288" s="20">
        <v>2151.63</v>
      </c>
      <c r="P288" s="20">
        <v>1684.84</v>
      </c>
      <c r="Q288" s="20">
        <f t="shared" si="8"/>
        <v>17109.42</v>
      </c>
    </row>
    <row r="289" spans="1:17" ht="12.75">
      <c r="A289" s="73">
        <f t="shared" si="9"/>
        <v>282</v>
      </c>
      <c r="B289" s="9" t="s">
        <v>368</v>
      </c>
      <c r="C289" s="9">
        <v>12360</v>
      </c>
      <c r="D289" s="31" t="s">
        <v>588</v>
      </c>
      <c r="E289" s="20">
        <v>7901.72</v>
      </c>
      <c r="F289" s="20">
        <v>1892.75</v>
      </c>
      <c r="G289" s="20">
        <v>6431.98</v>
      </c>
      <c r="H289" s="20">
        <v>5945.84</v>
      </c>
      <c r="I289" s="20">
        <v>5336.82</v>
      </c>
      <c r="J289" s="20">
        <v>4693.12</v>
      </c>
      <c r="K289" s="22">
        <v>6006.27</v>
      </c>
      <c r="L289" s="20">
        <v>6508.93</v>
      </c>
      <c r="M289" s="20">
        <v>6411.37</v>
      </c>
      <c r="N289" s="20">
        <v>6383.96</v>
      </c>
      <c r="O289" s="20">
        <v>7390.09</v>
      </c>
      <c r="P289" s="20">
        <v>7083.46</v>
      </c>
      <c r="Q289" s="20">
        <f t="shared" si="8"/>
        <v>71986.31000000001</v>
      </c>
    </row>
    <row r="290" spans="1:17" ht="12.75">
      <c r="A290" s="73">
        <f t="shared" si="9"/>
        <v>283</v>
      </c>
      <c r="B290" s="9" t="s">
        <v>369</v>
      </c>
      <c r="C290" s="9">
        <v>12361</v>
      </c>
      <c r="D290" s="17" t="s">
        <v>585</v>
      </c>
      <c r="E290" s="20">
        <v>2444.76</v>
      </c>
      <c r="F290" s="20">
        <v>1531.25</v>
      </c>
      <c r="G290" s="20">
        <v>1402.45</v>
      </c>
      <c r="H290" s="20">
        <v>1377.01</v>
      </c>
      <c r="I290" s="20">
        <v>984.52</v>
      </c>
      <c r="J290" s="20">
        <v>777.8</v>
      </c>
      <c r="K290" s="22">
        <v>939.63</v>
      </c>
      <c r="L290" s="20">
        <v>776.88</v>
      </c>
      <c r="M290" s="20">
        <v>1156.1</v>
      </c>
      <c r="N290" s="20">
        <v>1291.58</v>
      </c>
      <c r="O290" s="20">
        <v>1855.85</v>
      </c>
      <c r="P290" s="20">
        <v>2098.13</v>
      </c>
      <c r="Q290" s="20">
        <f t="shared" si="8"/>
        <v>16635.96</v>
      </c>
    </row>
    <row r="291" spans="1:17" ht="12.75">
      <c r="A291" s="73">
        <f t="shared" si="9"/>
        <v>284</v>
      </c>
      <c r="B291" s="9" t="s">
        <v>370</v>
      </c>
      <c r="C291" s="9">
        <v>11165</v>
      </c>
      <c r="D291" s="17" t="s">
        <v>585</v>
      </c>
      <c r="E291" s="20">
        <v>1911.75</v>
      </c>
      <c r="F291" s="20">
        <v>1525.5</v>
      </c>
      <c r="G291" s="20">
        <v>1132.15</v>
      </c>
      <c r="H291" s="20">
        <v>1062.67</v>
      </c>
      <c r="I291" s="20">
        <v>979.27</v>
      </c>
      <c r="J291" s="20">
        <v>2255.5</v>
      </c>
      <c r="K291" s="22">
        <v>3029.56</v>
      </c>
      <c r="L291" s="20">
        <v>2032.87</v>
      </c>
      <c r="M291" s="20">
        <v>1992.41</v>
      </c>
      <c r="N291" s="20">
        <v>1777.5</v>
      </c>
      <c r="O291" s="20">
        <v>1940.11</v>
      </c>
      <c r="P291" s="20"/>
      <c r="Q291" s="20">
        <f t="shared" si="8"/>
        <v>19639.29</v>
      </c>
    </row>
    <row r="292" spans="1:231" s="44" customFormat="1" ht="12.75">
      <c r="A292" s="73">
        <f t="shared" si="9"/>
        <v>285</v>
      </c>
      <c r="B292" s="9" t="s">
        <v>371</v>
      </c>
      <c r="C292" s="9">
        <v>12109</v>
      </c>
      <c r="D292" s="17">
        <v>15</v>
      </c>
      <c r="E292" s="20">
        <v>1017</v>
      </c>
      <c r="F292" s="20">
        <v>813.6</v>
      </c>
      <c r="G292" s="20">
        <v>711.9</v>
      </c>
      <c r="H292" s="20">
        <v>508.5</v>
      </c>
      <c r="I292" s="20">
        <v>305.1</v>
      </c>
      <c r="J292" s="20">
        <v>203.4</v>
      </c>
      <c r="K292" s="22">
        <f>ROUND(0.04*143.25,0)*3.53*15</f>
        <v>317.7</v>
      </c>
      <c r="L292" s="22">
        <f>ROUND(0.04*235.08,0)*3.53*15</f>
        <v>476.55</v>
      </c>
      <c r="M292" s="22">
        <f>ROUND(0.04*314.17,0)*3.53*15</f>
        <v>688.35</v>
      </c>
      <c r="N292" s="22">
        <f>ROUND(0.04*430.83,0)*3.53*15</f>
        <v>900.15</v>
      </c>
      <c r="O292" s="22">
        <f>ROUND(0.04*492.08,0)*3.53*15</f>
        <v>1059</v>
      </c>
      <c r="P292" s="22">
        <f>ROUND(0.04*548.5,0)*3.53*15</f>
        <v>1164.8999999999999</v>
      </c>
      <c r="Q292" s="20">
        <f t="shared" si="8"/>
        <v>8166.15</v>
      </c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</row>
    <row r="293" spans="1:17" ht="12.75">
      <c r="A293" s="73">
        <f t="shared" si="9"/>
        <v>286</v>
      </c>
      <c r="B293" s="9" t="s">
        <v>372</v>
      </c>
      <c r="C293" s="9">
        <v>11161</v>
      </c>
      <c r="D293" s="31" t="s">
        <v>588</v>
      </c>
      <c r="E293" s="20">
        <v>1841.35</v>
      </c>
      <c r="F293" s="20">
        <v>0</v>
      </c>
      <c r="G293" s="20">
        <v>166.8</v>
      </c>
      <c r="H293" s="20">
        <v>343.55</v>
      </c>
      <c r="I293" s="20">
        <v>550.2</v>
      </c>
      <c r="J293" s="20">
        <v>1348.05</v>
      </c>
      <c r="K293" s="22">
        <v>597.3</v>
      </c>
      <c r="L293" s="20">
        <v>474.36</v>
      </c>
      <c r="M293" s="20">
        <v>1327.09</v>
      </c>
      <c r="N293" s="20">
        <v>1211.25</v>
      </c>
      <c r="O293" s="20">
        <v>1290.18</v>
      </c>
      <c r="P293" s="20">
        <v>1103.49</v>
      </c>
      <c r="Q293" s="20">
        <f t="shared" si="8"/>
        <v>10253.619999999999</v>
      </c>
    </row>
    <row r="294" spans="1:17" ht="12.75">
      <c r="A294" s="73">
        <f t="shared" si="9"/>
        <v>287</v>
      </c>
      <c r="B294" s="9" t="s">
        <v>373</v>
      </c>
      <c r="C294" s="9">
        <v>12113</v>
      </c>
      <c r="D294" s="17">
        <v>4</v>
      </c>
      <c r="E294" s="20">
        <v>271.2</v>
      </c>
      <c r="F294" s="20">
        <v>216.96</v>
      </c>
      <c r="G294" s="20">
        <v>189.84</v>
      </c>
      <c r="H294" s="20">
        <v>135.6</v>
      </c>
      <c r="I294" s="20">
        <v>81.36</v>
      </c>
      <c r="J294" s="20">
        <v>54.24</v>
      </c>
      <c r="K294" s="22">
        <f>ROUND(0.04*143.25,0)*3.53*4</f>
        <v>84.72</v>
      </c>
      <c r="L294" s="22">
        <f>ROUND(0.04*235.08,0)*3.53*4</f>
        <v>127.08</v>
      </c>
      <c r="M294" s="22">
        <f>ROUND(0.04*314.17,0)*3.53*4</f>
        <v>183.56</v>
      </c>
      <c r="N294" s="22">
        <f>ROUND(0.04*430.83,0)*3.53*4</f>
        <v>240.04</v>
      </c>
      <c r="O294" s="22">
        <f>ROUND(0.04*492.08,0)*3.53*4</f>
        <v>282.4</v>
      </c>
      <c r="P294" s="22">
        <f>ROUND(0.04*548.5,0)*3.53*4</f>
        <v>310.64</v>
      </c>
      <c r="Q294" s="20">
        <f t="shared" si="8"/>
        <v>2177.64</v>
      </c>
    </row>
    <row r="295" spans="1:17" ht="12.75">
      <c r="A295" s="73">
        <f t="shared" si="9"/>
        <v>288</v>
      </c>
      <c r="B295" s="10" t="s">
        <v>374</v>
      </c>
      <c r="C295" s="10">
        <v>12115</v>
      </c>
      <c r="D295" s="225">
        <v>9</v>
      </c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>
        <f t="shared" si="8"/>
        <v>0</v>
      </c>
    </row>
    <row r="296" spans="1:17" ht="12.75">
      <c r="A296" s="73">
        <f t="shared" si="9"/>
        <v>289</v>
      </c>
      <c r="B296" s="47" t="s">
        <v>608</v>
      </c>
      <c r="C296" s="10"/>
      <c r="D296" s="4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>
        <f t="shared" si="8"/>
        <v>0</v>
      </c>
    </row>
    <row r="297" spans="1:17" ht="12.75">
      <c r="A297" s="73">
        <f t="shared" si="9"/>
        <v>290</v>
      </c>
      <c r="B297" s="10" t="s">
        <v>375</v>
      </c>
      <c r="C297" s="10">
        <v>12118</v>
      </c>
      <c r="D297" s="45">
        <v>16</v>
      </c>
      <c r="E297" s="43">
        <v>1084.8</v>
      </c>
      <c r="F297" s="43">
        <v>867.84</v>
      </c>
      <c r="G297" s="43">
        <v>759.36</v>
      </c>
      <c r="H297" s="43">
        <v>542.4</v>
      </c>
      <c r="I297" s="43">
        <v>325.44</v>
      </c>
      <c r="J297" s="43">
        <v>216.96</v>
      </c>
      <c r="K297" s="43">
        <f>ROUND(0.04*143.25,0)*3.53*16</f>
        <v>338.88</v>
      </c>
      <c r="L297" s="43">
        <f>ROUND(0.04*235.08,0)*3.53*16</f>
        <v>508.32</v>
      </c>
      <c r="M297" s="43"/>
      <c r="N297" s="43"/>
      <c r="O297" s="43"/>
      <c r="P297" s="43"/>
      <c r="Q297" s="43">
        <f t="shared" si="8"/>
        <v>4644</v>
      </c>
    </row>
    <row r="298" spans="1:17" ht="12.75">
      <c r="A298" s="73">
        <f t="shared" si="9"/>
        <v>291</v>
      </c>
      <c r="B298" s="9" t="s">
        <v>376</v>
      </c>
      <c r="C298" s="9">
        <v>12119</v>
      </c>
      <c r="D298" s="17" t="s">
        <v>584</v>
      </c>
      <c r="E298" s="21"/>
      <c r="F298" s="20"/>
      <c r="G298" s="20"/>
      <c r="H298" s="20"/>
      <c r="I298" s="20"/>
      <c r="J298" s="20"/>
      <c r="K298" s="22"/>
      <c r="L298" s="20"/>
      <c r="M298" s="21"/>
      <c r="N298" s="21"/>
      <c r="O298" s="21"/>
      <c r="P298" s="21"/>
      <c r="Q298" s="20">
        <f t="shared" si="8"/>
        <v>0</v>
      </c>
    </row>
    <row r="299" spans="1:17" ht="12.75">
      <c r="A299" s="73">
        <f t="shared" si="9"/>
        <v>292</v>
      </c>
      <c r="B299" s="9" t="s">
        <v>377</v>
      </c>
      <c r="C299" s="9">
        <v>11162</v>
      </c>
      <c r="D299" s="31" t="s">
        <v>588</v>
      </c>
      <c r="E299" s="20">
        <v>3288.72</v>
      </c>
      <c r="F299" s="20">
        <v>0</v>
      </c>
      <c r="G299" s="20">
        <v>1014.66</v>
      </c>
      <c r="H299" s="20">
        <v>1001.09</v>
      </c>
      <c r="I299" s="20">
        <v>1364.19</v>
      </c>
      <c r="J299" s="20">
        <v>1670.23</v>
      </c>
      <c r="K299" s="22">
        <v>1574.73</v>
      </c>
      <c r="L299" s="20">
        <v>1618.16</v>
      </c>
      <c r="M299" s="20">
        <v>2184.14</v>
      </c>
      <c r="N299" s="20">
        <v>2043</v>
      </c>
      <c r="O299" s="20">
        <v>2095.67</v>
      </c>
      <c r="P299" s="20">
        <v>1871.82</v>
      </c>
      <c r="Q299" s="20">
        <f t="shared" si="8"/>
        <v>19726.409999999996</v>
      </c>
    </row>
    <row r="300" spans="1:17" ht="12.75">
      <c r="A300" s="73">
        <f t="shared" si="9"/>
        <v>293</v>
      </c>
      <c r="B300" s="9" t="s">
        <v>378</v>
      </c>
      <c r="C300" s="9">
        <v>11163</v>
      </c>
      <c r="D300" s="31" t="s">
        <v>588</v>
      </c>
      <c r="E300" s="20">
        <v>2140.03</v>
      </c>
      <c r="F300" s="20">
        <v>0</v>
      </c>
      <c r="G300" s="20">
        <v>862.2</v>
      </c>
      <c r="H300" s="20">
        <v>763.74</v>
      </c>
      <c r="I300" s="20">
        <v>649.08</v>
      </c>
      <c r="J300" s="20">
        <v>802.24</v>
      </c>
      <c r="K300" s="22">
        <v>712.81</v>
      </c>
      <c r="L300" s="20">
        <v>1756.61</v>
      </c>
      <c r="M300" s="20">
        <v>2522.2</v>
      </c>
      <c r="N300" s="20">
        <v>1849.64</v>
      </c>
      <c r="O300" s="20">
        <v>1827.61</v>
      </c>
      <c r="P300" s="20">
        <v>1737.35</v>
      </c>
      <c r="Q300" s="20">
        <f t="shared" si="8"/>
        <v>15623.51</v>
      </c>
    </row>
    <row r="301" spans="1:17" ht="12.75">
      <c r="A301" s="73">
        <f t="shared" si="9"/>
        <v>294</v>
      </c>
      <c r="B301" s="9" t="s">
        <v>379</v>
      </c>
      <c r="C301" s="9">
        <v>11164</v>
      </c>
      <c r="D301" s="31" t="s">
        <v>588</v>
      </c>
      <c r="E301" s="20">
        <v>2552.69</v>
      </c>
      <c r="F301" s="20">
        <v>1026.47</v>
      </c>
      <c r="G301" s="20">
        <v>2261.71</v>
      </c>
      <c r="H301" s="20">
        <v>2190.46</v>
      </c>
      <c r="I301" s="20">
        <v>1874.97</v>
      </c>
      <c r="J301" s="20">
        <v>2109.83</v>
      </c>
      <c r="K301" s="22">
        <v>2199.93</v>
      </c>
      <c r="L301" s="20">
        <v>2551.73</v>
      </c>
      <c r="M301" s="20">
        <v>2662.46</v>
      </c>
      <c r="N301" s="20">
        <v>2809.97</v>
      </c>
      <c r="O301" s="20">
        <v>2906.7</v>
      </c>
      <c r="P301" s="20">
        <v>2548.58</v>
      </c>
      <c r="Q301" s="20">
        <f t="shared" si="8"/>
        <v>27695.5</v>
      </c>
    </row>
    <row r="302" spans="1:231" s="44" customFormat="1" ht="12.75">
      <c r="A302" s="73">
        <f t="shared" si="9"/>
        <v>295</v>
      </c>
      <c r="B302" s="9" t="s">
        <v>380</v>
      </c>
      <c r="C302" s="9">
        <v>12642</v>
      </c>
      <c r="D302" s="17">
        <v>15</v>
      </c>
      <c r="E302" s="20">
        <v>1017</v>
      </c>
      <c r="F302" s="20">
        <v>813.6</v>
      </c>
      <c r="G302" s="20">
        <v>711.9</v>
      </c>
      <c r="H302" s="20">
        <v>508.5</v>
      </c>
      <c r="I302" s="20">
        <v>305.1</v>
      </c>
      <c r="J302" s="20">
        <v>203.4</v>
      </c>
      <c r="K302" s="22">
        <f>ROUND(0.04*143.25,0)*3.53*15</f>
        <v>317.7</v>
      </c>
      <c r="L302" s="22">
        <f>ROUND(0.04*235.08,0)*3.53*15</f>
        <v>476.55</v>
      </c>
      <c r="M302" s="22">
        <f>ROUND(0.04*314.17,0)*3.53*15</f>
        <v>688.35</v>
      </c>
      <c r="N302" s="22">
        <f>ROUND(0.04*430.83,0)*3.53*15</f>
        <v>900.15</v>
      </c>
      <c r="O302" s="22">
        <f>ROUND(0.04*492.08,0)*3.53*15</f>
        <v>1059</v>
      </c>
      <c r="P302" s="22">
        <f>ROUND(0.04*548.5,0)*3.53*15</f>
        <v>1164.8999999999999</v>
      </c>
      <c r="Q302" s="20">
        <f t="shared" si="8"/>
        <v>8166.15</v>
      </c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</row>
    <row r="303" spans="1:17" ht="12.75">
      <c r="A303" s="73">
        <f t="shared" si="9"/>
        <v>296</v>
      </c>
      <c r="B303" s="9" t="s">
        <v>381</v>
      </c>
      <c r="C303" s="9">
        <v>12640</v>
      </c>
      <c r="D303" s="17" t="s">
        <v>584</v>
      </c>
      <c r="E303" s="21"/>
      <c r="F303" s="20"/>
      <c r="G303" s="20"/>
      <c r="H303" s="20"/>
      <c r="I303" s="20"/>
      <c r="J303" s="20"/>
      <c r="K303" s="22"/>
      <c r="L303" s="20"/>
      <c r="M303" s="21"/>
      <c r="N303" s="21"/>
      <c r="O303" s="21"/>
      <c r="P303" s="21"/>
      <c r="Q303" s="20">
        <f t="shared" si="8"/>
        <v>0</v>
      </c>
    </row>
    <row r="304" spans="1:231" s="44" customFormat="1" ht="12.75">
      <c r="A304" s="73">
        <f t="shared" si="9"/>
        <v>297</v>
      </c>
      <c r="B304" s="9" t="s">
        <v>382</v>
      </c>
      <c r="C304" s="9">
        <v>21678</v>
      </c>
      <c r="D304" s="17" t="s">
        <v>585</v>
      </c>
      <c r="E304" s="20">
        <v>170.14</v>
      </c>
      <c r="F304" s="20">
        <v>135.97</v>
      </c>
      <c r="G304" s="20">
        <v>123.68</v>
      </c>
      <c r="H304" s="20">
        <v>59.39</v>
      </c>
      <c r="I304" s="20">
        <v>63.58</v>
      </c>
      <c r="J304" s="20">
        <v>61.52</v>
      </c>
      <c r="K304" s="22">
        <v>46.93</v>
      </c>
      <c r="L304" s="20">
        <v>46.93</v>
      </c>
      <c r="M304" s="20">
        <v>46.93</v>
      </c>
      <c r="N304" s="20">
        <v>87.49</v>
      </c>
      <c r="O304" s="20">
        <v>41.92</v>
      </c>
      <c r="P304" s="20">
        <v>151.39</v>
      </c>
      <c r="Q304" s="20">
        <f t="shared" si="8"/>
        <v>1035.87</v>
      </c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</row>
    <row r="305" spans="1:17" ht="12.75">
      <c r="A305" s="73">
        <f t="shared" si="9"/>
        <v>298</v>
      </c>
      <c r="B305" s="9" t="s">
        <v>383</v>
      </c>
      <c r="C305" s="9">
        <v>21675</v>
      </c>
      <c r="D305" s="17" t="s">
        <v>585</v>
      </c>
      <c r="E305" s="20">
        <v>158.49</v>
      </c>
      <c r="F305" s="20">
        <v>131.85</v>
      </c>
      <c r="G305" s="20">
        <v>103.15</v>
      </c>
      <c r="H305" s="20">
        <v>211.77</v>
      </c>
      <c r="I305" s="20">
        <v>32.11</v>
      </c>
      <c r="J305" s="20">
        <v>31.4</v>
      </c>
      <c r="K305" s="22">
        <v>33.41</v>
      </c>
      <c r="L305" s="20">
        <v>22.76</v>
      </c>
      <c r="M305" s="20">
        <v>31.27</v>
      </c>
      <c r="N305" s="20">
        <v>25.58</v>
      </c>
      <c r="O305" s="20">
        <v>72.51</v>
      </c>
      <c r="P305" s="20">
        <v>66.09</v>
      </c>
      <c r="Q305" s="20">
        <f t="shared" si="8"/>
        <v>920.39</v>
      </c>
    </row>
    <row r="306" spans="1:17" ht="12.75">
      <c r="A306" s="73">
        <f t="shared" si="9"/>
        <v>299</v>
      </c>
      <c r="B306" s="9" t="s">
        <v>384</v>
      </c>
      <c r="C306" s="9">
        <v>21676</v>
      </c>
      <c r="D306" s="17" t="s">
        <v>585</v>
      </c>
      <c r="E306" s="20">
        <v>94.27</v>
      </c>
      <c r="F306" s="20">
        <v>183.07</v>
      </c>
      <c r="G306" s="20">
        <v>159.77</v>
      </c>
      <c r="H306" s="20">
        <v>94.34</v>
      </c>
      <c r="I306" s="20">
        <v>32.11</v>
      </c>
      <c r="J306" s="20">
        <v>33.46</v>
      </c>
      <c r="K306" s="22">
        <v>36.96</v>
      </c>
      <c r="L306" s="20">
        <v>33.41</v>
      </c>
      <c r="M306" s="20">
        <v>149.98</v>
      </c>
      <c r="N306" s="20">
        <v>117.3</v>
      </c>
      <c r="O306" s="20">
        <v>23.44</v>
      </c>
      <c r="P306" s="20">
        <v>147.84</v>
      </c>
      <c r="Q306" s="20">
        <f aca="true" t="shared" si="10" ref="Q306:Q369">E306+F306+G306+H306+I306+J306+K306+L306+M306+N306+O306+P306</f>
        <v>1105.95</v>
      </c>
    </row>
    <row r="307" spans="1:17" ht="12.75">
      <c r="A307" s="73">
        <f t="shared" si="9"/>
        <v>300</v>
      </c>
      <c r="B307" s="9" t="s">
        <v>385</v>
      </c>
      <c r="C307" s="9">
        <v>21677</v>
      </c>
      <c r="D307" s="17" t="s">
        <v>585</v>
      </c>
      <c r="E307" s="20">
        <v>26.64</v>
      </c>
      <c r="F307" s="20">
        <v>26.64</v>
      </c>
      <c r="G307" s="20">
        <v>23.23</v>
      </c>
      <c r="H307" s="20">
        <v>12.29</v>
      </c>
      <c r="I307" s="20">
        <v>13</v>
      </c>
      <c r="J307" s="20">
        <v>12.29</v>
      </c>
      <c r="K307" s="22">
        <v>9.97</v>
      </c>
      <c r="L307" s="20">
        <v>7.83</v>
      </c>
      <c r="M307" s="20">
        <v>11.38</v>
      </c>
      <c r="N307" s="20">
        <v>11.38</v>
      </c>
      <c r="O307" s="20">
        <v>24.17</v>
      </c>
      <c r="P307" s="20">
        <v>22.03</v>
      </c>
      <c r="Q307" s="20">
        <f t="shared" si="10"/>
        <v>200.85</v>
      </c>
    </row>
    <row r="308" spans="1:17" ht="12.75">
      <c r="A308" s="73">
        <f t="shared" si="9"/>
        <v>301</v>
      </c>
      <c r="B308" s="9" t="s">
        <v>386</v>
      </c>
      <c r="C308" s="9">
        <v>22454</v>
      </c>
      <c r="D308" s="17" t="s">
        <v>714</v>
      </c>
      <c r="E308" s="20">
        <v>2145.87</v>
      </c>
      <c r="F308" s="20">
        <v>1715.34</v>
      </c>
      <c r="G308" s="20">
        <v>1501.77</v>
      </c>
      <c r="H308" s="20">
        <v>1071.24</v>
      </c>
      <c r="I308" s="20">
        <v>644.1</v>
      </c>
      <c r="J308" s="20">
        <v>427.14</v>
      </c>
      <c r="K308" s="22">
        <f>ROUND(0.04*143.25,0)*3.53*31+14.12</f>
        <v>670.7</v>
      </c>
      <c r="L308" s="22">
        <f>ROUND(0.04*235.08,0)*3.53*31+14.12</f>
        <v>998.99</v>
      </c>
      <c r="M308" s="22">
        <f>ROUND(0.04*314.17,0)*3.53*31+14.12</f>
        <v>1436.7099999999998</v>
      </c>
      <c r="N308" s="22">
        <f>ROUND(0.04*430.83,0)*3.53*31+14.12</f>
        <v>1874.4299999999998</v>
      </c>
      <c r="O308" s="22">
        <f>ROUND(0.04*492.08,0)*3.53*31+14.12</f>
        <v>2202.72</v>
      </c>
      <c r="P308" s="22">
        <v>2880.86</v>
      </c>
      <c r="Q308" s="20">
        <f t="shared" si="10"/>
        <v>17569.87</v>
      </c>
    </row>
    <row r="309" spans="1:17" ht="12.75">
      <c r="A309" s="73">
        <f t="shared" si="9"/>
        <v>302</v>
      </c>
      <c r="B309" s="9" t="s">
        <v>387</v>
      </c>
      <c r="C309" s="9">
        <v>22457</v>
      </c>
      <c r="D309" s="17">
        <v>8</v>
      </c>
      <c r="E309" s="20">
        <v>542.4</v>
      </c>
      <c r="F309" s="20">
        <v>433.92</v>
      </c>
      <c r="G309" s="20">
        <v>379.68</v>
      </c>
      <c r="H309" s="20">
        <v>271.2</v>
      </c>
      <c r="I309" s="20">
        <v>162.72</v>
      </c>
      <c r="J309" s="20">
        <v>108.48</v>
      </c>
      <c r="K309" s="22">
        <f>ROUND(0.04*143.25,0)*3.53*8</f>
        <v>169.44</v>
      </c>
      <c r="L309" s="22">
        <f>ROUND(0.04*235.08,0)*3.53*8</f>
        <v>254.16</v>
      </c>
      <c r="M309" s="22">
        <f>ROUND(0.04*314.17,0)*3.53*8</f>
        <v>367.12</v>
      </c>
      <c r="N309" s="22">
        <f>ROUND(0.04*430.83,0)*3.53*8</f>
        <v>480.08</v>
      </c>
      <c r="O309" s="22">
        <f>ROUND(0.04*492.08,0)*3.53*8</f>
        <v>564.8</v>
      </c>
      <c r="P309" s="22">
        <f>ROUND(0.04*548.5,0)*3.53*8</f>
        <v>621.28</v>
      </c>
      <c r="Q309" s="20">
        <f t="shared" si="10"/>
        <v>4355.28</v>
      </c>
    </row>
    <row r="310" spans="1:231" s="44" customFormat="1" ht="12.75">
      <c r="A310" s="73">
        <f t="shared" si="9"/>
        <v>303</v>
      </c>
      <c r="B310" s="9" t="s">
        <v>388</v>
      </c>
      <c r="C310" s="9">
        <v>22459</v>
      </c>
      <c r="D310" s="17">
        <v>0</v>
      </c>
      <c r="E310" s="21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2"/>
      <c r="L310" s="20"/>
      <c r="M310" s="20"/>
      <c r="N310" s="20"/>
      <c r="O310" s="20"/>
      <c r="P310" s="20"/>
      <c r="Q310" s="20">
        <f t="shared" si="10"/>
        <v>0</v>
      </c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</row>
    <row r="311" spans="1:17" ht="12.75">
      <c r="A311" s="73">
        <f t="shared" si="9"/>
        <v>304</v>
      </c>
      <c r="B311" s="9" t="s">
        <v>389</v>
      </c>
      <c r="C311" s="9">
        <v>22458</v>
      </c>
      <c r="D311" s="17">
        <v>12</v>
      </c>
      <c r="E311" s="20">
        <v>813.6</v>
      </c>
      <c r="F311" s="20">
        <v>650.88</v>
      </c>
      <c r="G311" s="20">
        <v>569.52</v>
      </c>
      <c r="H311" s="20">
        <v>406.8</v>
      </c>
      <c r="I311" s="20">
        <v>244.08</v>
      </c>
      <c r="J311" s="20">
        <v>149.16</v>
      </c>
      <c r="K311" s="22">
        <f>ROUND(0.04*143.25,0)*3.53*12</f>
        <v>254.16</v>
      </c>
      <c r="L311" s="22">
        <f>ROUND(0.04*235.08,0)*3.53*12</f>
        <v>381.24</v>
      </c>
      <c r="M311" s="22">
        <f>ROUND(0.04*314.17,0)*3.53*12</f>
        <v>550.6800000000001</v>
      </c>
      <c r="N311" s="22">
        <f>ROUND(0.04*430.83,0)*3.53*12</f>
        <v>720.12</v>
      </c>
      <c r="O311" s="22">
        <f>ROUND(0.04*492.08,0)*3.53*12</f>
        <v>847.1999999999999</v>
      </c>
      <c r="P311" s="22">
        <f>ROUND(0.04*548.5,0)*3.53*12</f>
        <v>931.92</v>
      </c>
      <c r="Q311" s="20">
        <f t="shared" si="10"/>
        <v>6519.36</v>
      </c>
    </row>
    <row r="312" spans="1:17" ht="12.75">
      <c r="A312" s="73">
        <f t="shared" si="9"/>
        <v>305</v>
      </c>
      <c r="B312" s="9" t="s">
        <v>390</v>
      </c>
      <c r="C312" s="9">
        <v>22463</v>
      </c>
      <c r="D312" s="26" t="s">
        <v>587</v>
      </c>
      <c r="E312" s="20"/>
      <c r="F312" s="20"/>
      <c r="G312" s="20"/>
      <c r="H312" s="20"/>
      <c r="I312" s="20"/>
      <c r="J312" s="20"/>
      <c r="K312" s="22"/>
      <c r="L312" s="20"/>
      <c r="M312" s="20"/>
      <c r="N312" s="20"/>
      <c r="O312" s="20"/>
      <c r="P312" s="20"/>
      <c r="Q312" s="20">
        <f t="shared" si="10"/>
        <v>0</v>
      </c>
    </row>
    <row r="313" spans="1:17" ht="12.75">
      <c r="A313" s="73">
        <f t="shared" si="9"/>
        <v>306</v>
      </c>
      <c r="B313" s="9" t="s">
        <v>391</v>
      </c>
      <c r="C313" s="9">
        <v>21421</v>
      </c>
      <c r="D313" s="17">
        <v>2</v>
      </c>
      <c r="E313" s="20">
        <v>135.6</v>
      </c>
      <c r="F313" s="20">
        <v>108.48</v>
      </c>
      <c r="G313" s="20">
        <v>94.92</v>
      </c>
      <c r="H313" s="20">
        <v>67.8</v>
      </c>
      <c r="I313" s="22">
        <v>40.68</v>
      </c>
      <c r="J313" s="20">
        <v>27.12</v>
      </c>
      <c r="K313" s="22">
        <f>ROUND(0.04*143.25,0)*3.53*2</f>
        <v>42.36</v>
      </c>
      <c r="L313" s="22">
        <f>ROUND(0.04*235.08,0)*3.53*2</f>
        <v>63.54</v>
      </c>
      <c r="M313" s="22">
        <f>ROUND(0.04*314.17,0)*3.53*2</f>
        <v>91.78</v>
      </c>
      <c r="N313" s="22">
        <f>ROUND(0.04*430.83,0)*3.53*2</f>
        <v>120.02</v>
      </c>
      <c r="O313" s="22">
        <f>ROUND(0.04*492.08,0)*3.53*2</f>
        <v>141.2</v>
      </c>
      <c r="P313" s="22">
        <f>ROUND(0.04*548.5,0)*3.53*2</f>
        <v>155.32</v>
      </c>
      <c r="Q313" s="20">
        <f t="shared" si="10"/>
        <v>1088.82</v>
      </c>
    </row>
    <row r="314" spans="1:17" ht="12.75">
      <c r="A314" s="73">
        <f t="shared" si="9"/>
        <v>307</v>
      </c>
      <c r="B314" s="9" t="s">
        <v>392</v>
      </c>
      <c r="C314" s="9">
        <v>21684</v>
      </c>
      <c r="D314" s="17">
        <v>2</v>
      </c>
      <c r="E314" s="20">
        <v>135.6</v>
      </c>
      <c r="F314" s="20">
        <v>108.48</v>
      </c>
      <c r="G314" s="20">
        <v>94.92</v>
      </c>
      <c r="H314" s="20">
        <v>67.8</v>
      </c>
      <c r="I314" s="22">
        <v>40.68</v>
      </c>
      <c r="J314" s="20">
        <v>27.12</v>
      </c>
      <c r="K314" s="22">
        <f>ROUND(0.04*143.25,0)*3.53*2</f>
        <v>42.36</v>
      </c>
      <c r="L314" s="22">
        <f>ROUND(0.04*235.08,0)*3.53*2</f>
        <v>63.54</v>
      </c>
      <c r="M314" s="22">
        <f>ROUND(0.04*314.17,0)*3.53*2</f>
        <v>91.78</v>
      </c>
      <c r="N314" s="22">
        <f>ROUND(0.04*430.83,0)*3.53*2</f>
        <v>120.02</v>
      </c>
      <c r="O314" s="22">
        <f>ROUND(0.04*492.08,0)*3.53*2</f>
        <v>141.2</v>
      </c>
      <c r="P314" s="22">
        <f>ROUND(0.04*548.5,0)*3.53*2</f>
        <v>155.32</v>
      </c>
      <c r="Q314" s="20">
        <f t="shared" si="10"/>
        <v>1088.82</v>
      </c>
    </row>
    <row r="315" spans="1:17" ht="12.75">
      <c r="A315" s="73">
        <f t="shared" si="9"/>
        <v>308</v>
      </c>
      <c r="B315" s="10" t="s">
        <v>393</v>
      </c>
      <c r="C315" s="10">
        <v>12120</v>
      </c>
      <c r="D315" s="45">
        <v>14</v>
      </c>
      <c r="E315" s="43">
        <v>949.2</v>
      </c>
      <c r="F315" s="43">
        <v>759.36</v>
      </c>
      <c r="G315" s="43">
        <v>664.44</v>
      </c>
      <c r="H315" s="43">
        <v>474.6</v>
      </c>
      <c r="I315" s="43">
        <v>284.76</v>
      </c>
      <c r="J315" s="43">
        <v>189.84</v>
      </c>
      <c r="K315" s="43">
        <f>ROUND(0.04*143.25,0)*3.53*14</f>
        <v>296.52</v>
      </c>
      <c r="L315" s="43">
        <f>ROUND(0.04*235.08,0)*3.53*14</f>
        <v>444.78</v>
      </c>
      <c r="M315" s="43"/>
      <c r="N315" s="43"/>
      <c r="O315" s="43"/>
      <c r="P315" s="43"/>
      <c r="Q315" s="43">
        <f t="shared" si="10"/>
        <v>4063.5</v>
      </c>
    </row>
    <row r="316" spans="1:17" ht="12.75">
      <c r="A316" s="73">
        <f t="shared" si="9"/>
        <v>309</v>
      </c>
      <c r="B316" s="9" t="s">
        <v>394</v>
      </c>
      <c r="C316" s="9">
        <v>21429</v>
      </c>
      <c r="D316" s="17" t="s">
        <v>584</v>
      </c>
      <c r="E316" s="21"/>
      <c r="F316" s="20"/>
      <c r="G316" s="20"/>
      <c r="H316" s="20"/>
      <c r="I316" s="20"/>
      <c r="J316" s="20"/>
      <c r="K316" s="22"/>
      <c r="L316" s="20"/>
      <c r="M316" s="21"/>
      <c r="N316" s="21"/>
      <c r="O316" s="21"/>
      <c r="P316" s="21"/>
      <c r="Q316" s="20">
        <f t="shared" si="10"/>
        <v>0</v>
      </c>
    </row>
    <row r="317" spans="1:17" ht="12.75">
      <c r="A317" s="73">
        <f t="shared" si="9"/>
        <v>310</v>
      </c>
      <c r="B317" s="9" t="s">
        <v>395</v>
      </c>
      <c r="C317" s="9">
        <v>12122</v>
      </c>
      <c r="D317" s="17" t="s">
        <v>584</v>
      </c>
      <c r="E317" s="21"/>
      <c r="F317" s="20"/>
      <c r="G317" s="20"/>
      <c r="H317" s="20"/>
      <c r="I317" s="20"/>
      <c r="J317" s="20"/>
      <c r="K317" s="22"/>
      <c r="L317" s="20"/>
      <c r="M317" s="21"/>
      <c r="N317" s="21"/>
      <c r="O317" s="21"/>
      <c r="P317" s="21"/>
      <c r="Q317" s="20">
        <f t="shared" si="10"/>
        <v>0</v>
      </c>
    </row>
    <row r="318" spans="1:17" ht="12.75">
      <c r="A318" s="73">
        <f t="shared" si="9"/>
        <v>311</v>
      </c>
      <c r="B318" s="9" t="s">
        <v>396</v>
      </c>
      <c r="C318" s="9">
        <v>12127</v>
      </c>
      <c r="D318" s="17">
        <v>5</v>
      </c>
      <c r="E318" s="20">
        <v>339</v>
      </c>
      <c r="F318" s="20">
        <v>271.2</v>
      </c>
      <c r="G318" s="20">
        <v>237.3</v>
      </c>
      <c r="H318" s="20">
        <v>169.5</v>
      </c>
      <c r="I318" s="20">
        <v>101.7</v>
      </c>
      <c r="J318" s="20">
        <v>67.8</v>
      </c>
      <c r="K318" s="22">
        <f>ROUND(0.04*143.25,0)*3.53*5</f>
        <v>105.9</v>
      </c>
      <c r="L318" s="22">
        <f>ROUND(0.04*235.08,0)*3.53*5</f>
        <v>158.85</v>
      </c>
      <c r="M318" s="22">
        <f>ROUND(0.04*314.17,0)*3.53*5</f>
        <v>229.45</v>
      </c>
      <c r="N318" s="22">
        <f>ROUND(0.04*430.83,0)*3.53*5</f>
        <v>300.05</v>
      </c>
      <c r="O318" s="22">
        <f>ROUND(0.04*492.08,0)*3.53*5</f>
        <v>353</v>
      </c>
      <c r="P318" s="22">
        <f>ROUND(0.04*548.5,0)*3.53*5</f>
        <v>388.29999999999995</v>
      </c>
      <c r="Q318" s="20">
        <f t="shared" si="10"/>
        <v>2722.05</v>
      </c>
    </row>
    <row r="319" spans="1:17" ht="12.75">
      <c r="A319" s="73">
        <f t="shared" si="9"/>
        <v>312</v>
      </c>
      <c r="B319" s="9" t="s">
        <v>397</v>
      </c>
      <c r="C319" s="9">
        <v>21432</v>
      </c>
      <c r="D319" s="17">
        <v>0</v>
      </c>
      <c r="E319" s="21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2"/>
      <c r="L319" s="20"/>
      <c r="M319" s="20"/>
      <c r="N319" s="20"/>
      <c r="O319" s="20"/>
      <c r="P319" s="20"/>
      <c r="Q319" s="20">
        <f t="shared" si="10"/>
        <v>0</v>
      </c>
    </row>
    <row r="320" spans="1:17" ht="12.75">
      <c r="A320" s="73">
        <f t="shared" si="9"/>
        <v>313</v>
      </c>
      <c r="B320" s="9" t="s">
        <v>398</v>
      </c>
      <c r="C320" s="9">
        <v>21433</v>
      </c>
      <c r="D320" s="17">
        <v>6</v>
      </c>
      <c r="E320" s="20">
        <v>406.8</v>
      </c>
      <c r="F320" s="20">
        <v>325.44</v>
      </c>
      <c r="G320" s="20">
        <v>284.76</v>
      </c>
      <c r="H320" s="20">
        <v>203.4</v>
      </c>
      <c r="I320" s="20">
        <v>122.04</v>
      </c>
      <c r="J320" s="20">
        <v>81.36</v>
      </c>
      <c r="K320" s="22">
        <f>ROUND(0.04*143.25,0)*3.53*6</f>
        <v>127.08</v>
      </c>
      <c r="L320" s="22">
        <f>ROUND(0.04*235.08,0)*3.53*6</f>
        <v>190.62</v>
      </c>
      <c r="M320" s="22">
        <f>ROUND(0.04*314.17,0)*3.53*6</f>
        <v>275.34000000000003</v>
      </c>
      <c r="N320" s="22">
        <f>ROUND(0.04*430.83,0)*3.53*6</f>
        <v>360.06</v>
      </c>
      <c r="O320" s="22">
        <f>ROUND(0.04*492.08,0)*3.53*6</f>
        <v>423.59999999999997</v>
      </c>
      <c r="P320" s="22">
        <f>ROUND(0.04*548.5,0)*3.53*6</f>
        <v>465.96</v>
      </c>
      <c r="Q320" s="20">
        <f t="shared" si="10"/>
        <v>3266.46</v>
      </c>
    </row>
    <row r="321" spans="1:17" ht="12.75">
      <c r="A321" s="73">
        <f t="shared" si="9"/>
        <v>314</v>
      </c>
      <c r="B321" s="10" t="s">
        <v>399</v>
      </c>
      <c r="C321" s="10">
        <v>12164</v>
      </c>
      <c r="D321" s="17" t="s">
        <v>585</v>
      </c>
      <c r="E321" s="20">
        <v>3846.36</v>
      </c>
      <c r="F321" s="20">
        <v>2461.93</v>
      </c>
      <c r="G321" s="20">
        <v>1920.67</v>
      </c>
      <c r="H321" s="20">
        <v>1634.51</v>
      </c>
      <c r="I321" s="20">
        <v>1182.7</v>
      </c>
      <c r="J321" s="20">
        <v>1020.45</v>
      </c>
      <c r="K321" s="22">
        <v>1121.4</v>
      </c>
      <c r="L321" s="20">
        <v>1202.62</v>
      </c>
      <c r="M321" s="20">
        <v>1615.35</v>
      </c>
      <c r="N321" s="20">
        <v>2400.55</v>
      </c>
      <c r="O321" s="20">
        <v>4176.75</v>
      </c>
      <c r="P321" s="20">
        <v>2730.17</v>
      </c>
      <c r="Q321" s="20">
        <f t="shared" si="10"/>
        <v>25313.46</v>
      </c>
    </row>
    <row r="322" spans="1:17" ht="12.75">
      <c r="A322" s="73">
        <f t="shared" si="9"/>
        <v>315</v>
      </c>
      <c r="B322" s="9" t="s">
        <v>400</v>
      </c>
      <c r="C322" s="9">
        <v>12138</v>
      </c>
      <c r="D322" s="17" t="s">
        <v>585</v>
      </c>
      <c r="E322" s="20">
        <v>1291.21</v>
      </c>
      <c r="F322" s="20">
        <v>1232.24</v>
      </c>
      <c r="G322" s="20">
        <v>864.32</v>
      </c>
      <c r="H322" s="20">
        <v>856.65</v>
      </c>
      <c r="I322" s="20">
        <v>537.19</v>
      </c>
      <c r="J322" s="20">
        <v>369.75</v>
      </c>
      <c r="K322" s="22">
        <v>563.41</v>
      </c>
      <c r="L322" s="20">
        <v>999.63</v>
      </c>
      <c r="M322" s="20">
        <v>834.74</v>
      </c>
      <c r="N322" s="20">
        <v>1237.17</v>
      </c>
      <c r="O322" s="20">
        <v>1513.39</v>
      </c>
      <c r="P322" s="20">
        <v>2033.8</v>
      </c>
      <c r="Q322" s="20">
        <f t="shared" si="10"/>
        <v>12333.5</v>
      </c>
    </row>
    <row r="323" spans="1:17" ht="12.75">
      <c r="A323" s="73">
        <f t="shared" si="9"/>
        <v>316</v>
      </c>
      <c r="B323" s="9" t="s">
        <v>401</v>
      </c>
      <c r="C323" s="9">
        <v>12139</v>
      </c>
      <c r="D323" s="17" t="s">
        <v>585</v>
      </c>
      <c r="E323" s="20">
        <v>1619.21</v>
      </c>
      <c r="F323" s="20">
        <v>1100.05</v>
      </c>
      <c r="G323" s="20">
        <v>905.04</v>
      </c>
      <c r="H323" s="20">
        <v>457</v>
      </c>
      <c r="I323" s="20">
        <v>391.57</v>
      </c>
      <c r="J323" s="20">
        <v>402.37</v>
      </c>
      <c r="K323" s="22">
        <v>238.83</v>
      </c>
      <c r="L323" s="20">
        <v>296.51</v>
      </c>
      <c r="M323" s="20">
        <v>549.64</v>
      </c>
      <c r="N323" s="20">
        <v>830.51</v>
      </c>
      <c r="O323" s="20">
        <v>637.69</v>
      </c>
      <c r="P323" s="20">
        <v>1052</v>
      </c>
      <c r="Q323" s="20">
        <f t="shared" si="10"/>
        <v>8480.42</v>
      </c>
    </row>
    <row r="324" spans="1:17" ht="12.75">
      <c r="A324" s="73">
        <f t="shared" si="9"/>
        <v>317</v>
      </c>
      <c r="B324" s="27" t="s">
        <v>402</v>
      </c>
      <c r="C324" s="9">
        <v>12143</v>
      </c>
      <c r="D324" s="26" t="s">
        <v>583</v>
      </c>
      <c r="E324" s="20">
        <v>62640.4</v>
      </c>
      <c r="F324" s="20">
        <v>51868.4</v>
      </c>
      <c r="G324" s="20">
        <v>44788</v>
      </c>
      <c r="H324" s="20">
        <v>47545.6</v>
      </c>
      <c r="I324" s="20">
        <v>44906.8</v>
      </c>
      <c r="J324" s="20">
        <v>39626.8</v>
      </c>
      <c r="K324" s="22">
        <v>40267.2</v>
      </c>
      <c r="L324" s="20">
        <v>40586.4</v>
      </c>
      <c r="M324" s="20">
        <v>46603.2</v>
      </c>
      <c r="N324" s="20">
        <f>48434.63+1617.37</f>
        <v>50052</v>
      </c>
      <c r="O324" s="20">
        <v>52821.6</v>
      </c>
      <c r="P324" s="20">
        <v>50097.93</v>
      </c>
      <c r="Q324" s="20">
        <f t="shared" si="10"/>
        <v>571804.3300000001</v>
      </c>
    </row>
    <row r="325" spans="1:17" ht="12.75">
      <c r="A325" s="73">
        <f t="shared" si="9"/>
        <v>318</v>
      </c>
      <c r="B325" s="9" t="s">
        <v>403</v>
      </c>
      <c r="C325" s="9">
        <v>12648</v>
      </c>
      <c r="D325" s="17" t="s">
        <v>584</v>
      </c>
      <c r="E325" s="21"/>
      <c r="F325" s="20"/>
      <c r="G325" s="20"/>
      <c r="H325" s="20"/>
      <c r="I325" s="20"/>
      <c r="J325" s="20"/>
      <c r="K325" s="22"/>
      <c r="L325" s="20"/>
      <c r="M325" s="21"/>
      <c r="N325" s="21"/>
      <c r="O325" s="21"/>
      <c r="P325" s="21"/>
      <c r="Q325" s="20">
        <f t="shared" si="10"/>
        <v>0</v>
      </c>
    </row>
    <row r="326" spans="1:17" ht="12.75">
      <c r="A326" s="73">
        <f t="shared" si="9"/>
        <v>319</v>
      </c>
      <c r="B326" s="9" t="s">
        <v>404</v>
      </c>
      <c r="C326" s="9">
        <v>21831</v>
      </c>
      <c r="D326" s="17" t="s">
        <v>710</v>
      </c>
      <c r="E326" s="20">
        <v>2373</v>
      </c>
      <c r="F326" s="20">
        <v>1898.4</v>
      </c>
      <c r="G326" s="20">
        <v>1661.1</v>
      </c>
      <c r="H326" s="20">
        <v>1186.5</v>
      </c>
      <c r="I326" s="20">
        <v>711.9</v>
      </c>
      <c r="J326" s="20">
        <v>474.6</v>
      </c>
      <c r="K326" s="36">
        <f>ROUND(0.04*143.25,0)*3.53*35</f>
        <v>741.3</v>
      </c>
      <c r="L326" s="226">
        <f>ROUND(0.04*235.08,0)*3.53*35</f>
        <v>1111.95</v>
      </c>
      <c r="M326" s="20">
        <v>0</v>
      </c>
      <c r="N326" s="20">
        <v>0</v>
      </c>
      <c r="O326" s="20">
        <v>514.04</v>
      </c>
      <c r="P326" s="20">
        <v>617.09</v>
      </c>
      <c r="Q326" s="20">
        <f t="shared" si="10"/>
        <v>11289.880000000001</v>
      </c>
    </row>
    <row r="327" spans="1:17" ht="12.75">
      <c r="A327" s="73">
        <f t="shared" si="9"/>
        <v>320</v>
      </c>
      <c r="B327" s="9" t="s">
        <v>405</v>
      </c>
      <c r="C327" s="9">
        <v>12275</v>
      </c>
      <c r="D327" s="17">
        <v>6</v>
      </c>
      <c r="E327" s="20">
        <v>406.8</v>
      </c>
      <c r="F327" s="20">
        <v>325.44</v>
      </c>
      <c r="G327" s="20">
        <v>284.76</v>
      </c>
      <c r="H327" s="20">
        <v>203.4</v>
      </c>
      <c r="I327" s="20">
        <v>122.04</v>
      </c>
      <c r="J327" s="20">
        <v>81.36</v>
      </c>
      <c r="K327" s="22">
        <f>ROUND(0.04*143.25,0)*3.53*6</f>
        <v>127.08</v>
      </c>
      <c r="L327" s="22">
        <f>ROUND(0.04*235.08,0)*3.53*6</f>
        <v>190.62</v>
      </c>
      <c r="M327" s="22">
        <f>ROUND(0.04*314.17,0)*3.53*6</f>
        <v>275.34000000000003</v>
      </c>
      <c r="N327" s="22">
        <f>ROUND(0.04*430.83,0)*3.53*6</f>
        <v>360.06</v>
      </c>
      <c r="O327" s="22">
        <f>ROUND(0.04*492.08,0)*3.53*6</f>
        <v>423.59999999999997</v>
      </c>
      <c r="P327" s="22">
        <v>4054.1</v>
      </c>
      <c r="Q327" s="20">
        <f t="shared" si="10"/>
        <v>6854.6</v>
      </c>
    </row>
    <row r="328" spans="1:17" ht="12.75">
      <c r="A328" s="73">
        <f t="shared" si="9"/>
        <v>321</v>
      </c>
      <c r="B328" s="9" t="s">
        <v>406</v>
      </c>
      <c r="C328" s="9">
        <v>12284</v>
      </c>
      <c r="D328" s="17">
        <v>10</v>
      </c>
      <c r="E328" s="20">
        <v>678</v>
      </c>
      <c r="F328" s="20">
        <v>542.4</v>
      </c>
      <c r="G328" s="20">
        <v>474.6</v>
      </c>
      <c r="H328" s="20">
        <v>339</v>
      </c>
      <c r="I328" s="20">
        <v>203.4</v>
      </c>
      <c r="J328" s="20">
        <v>135.6</v>
      </c>
      <c r="K328" s="22">
        <f>ROUND(0.04*143.25,0)*3.53*10</f>
        <v>211.8</v>
      </c>
      <c r="L328" s="22">
        <f>ROUND(0.04*235.08,0)*3.53*10</f>
        <v>317.7</v>
      </c>
      <c r="M328" s="22">
        <f>ROUND(0.04*314.17,0)*3.53*10</f>
        <v>458.9</v>
      </c>
      <c r="N328" s="22">
        <f>ROUND(0.04*430.83,0)*3.53*10</f>
        <v>600.1</v>
      </c>
      <c r="O328" s="22">
        <f>ROUND(0.04*492.08,0)*3.53*10</f>
        <v>706</v>
      </c>
      <c r="P328" s="22">
        <f>ROUND(0.04*548.5,0)*3.53*10</f>
        <v>776.5999999999999</v>
      </c>
      <c r="Q328" s="20">
        <f t="shared" si="10"/>
        <v>5444.1</v>
      </c>
    </row>
    <row r="329" spans="1:17" ht="12.75">
      <c r="A329" s="73">
        <f t="shared" si="9"/>
        <v>322</v>
      </c>
      <c r="B329" s="9" t="s">
        <v>407</v>
      </c>
      <c r="C329" s="9">
        <v>12285</v>
      </c>
      <c r="D329" s="17">
        <v>9</v>
      </c>
      <c r="E329" s="20">
        <v>610.2</v>
      </c>
      <c r="F329" s="20">
        <v>488.16</v>
      </c>
      <c r="G329" s="20">
        <v>427.14</v>
      </c>
      <c r="H329" s="20">
        <v>305.1</v>
      </c>
      <c r="I329" s="20">
        <v>183.06</v>
      </c>
      <c r="J329" s="20">
        <v>122.04</v>
      </c>
      <c r="K329" s="22">
        <f>ROUND(0.04*143.25,0)*3.53*9</f>
        <v>190.62</v>
      </c>
      <c r="L329" s="22">
        <f>ROUND(0.04*235.08,0)*3.53*9</f>
        <v>285.93</v>
      </c>
      <c r="M329" s="22">
        <f>ROUND(0.04*314.17,0)*3.53*9</f>
        <v>413.01</v>
      </c>
      <c r="N329" s="22">
        <f>ROUND(0.04*430.83,0)*3.53*9</f>
        <v>540.09</v>
      </c>
      <c r="O329" s="22">
        <f>ROUND(0.04*492.08,0)*3.53*9</f>
        <v>635.4</v>
      </c>
      <c r="P329" s="22">
        <f>ROUND(0.04*548.5,0)*3.53*9</f>
        <v>698.9399999999999</v>
      </c>
      <c r="Q329" s="20">
        <f t="shared" si="10"/>
        <v>4899.689999999999</v>
      </c>
    </row>
    <row r="330" spans="1:17" ht="12.75">
      <c r="A330" s="73">
        <f t="shared" si="9"/>
        <v>323</v>
      </c>
      <c r="B330" s="9" t="s">
        <v>408</v>
      </c>
      <c r="C330" s="9">
        <v>12276</v>
      </c>
      <c r="D330" s="17" t="s">
        <v>585</v>
      </c>
      <c r="E330" s="20">
        <v>602.63</v>
      </c>
      <c r="F330" s="20">
        <v>370.4</v>
      </c>
      <c r="G330" s="20">
        <v>340.99</v>
      </c>
      <c r="H330" s="20">
        <v>184.56</v>
      </c>
      <c r="I330" s="20">
        <v>109.333</v>
      </c>
      <c r="J330" s="20">
        <v>91.57</v>
      </c>
      <c r="K330" s="22">
        <v>149.93</v>
      </c>
      <c r="L330" s="20">
        <v>242.33</v>
      </c>
      <c r="M330" s="20">
        <v>152.17</v>
      </c>
      <c r="N330" s="20">
        <v>286.54</v>
      </c>
      <c r="O330" s="20">
        <v>334.88</v>
      </c>
      <c r="P330" s="20">
        <v>439.34</v>
      </c>
      <c r="Q330" s="20">
        <f t="shared" si="10"/>
        <v>3304.6730000000002</v>
      </c>
    </row>
    <row r="331" spans="1:17" ht="12.75">
      <c r="A331" s="73">
        <f t="shared" si="9"/>
        <v>324</v>
      </c>
      <c r="B331" s="9" t="s">
        <v>409</v>
      </c>
      <c r="C331" s="9">
        <v>12277</v>
      </c>
      <c r="D331" s="17" t="s">
        <v>585</v>
      </c>
      <c r="E331" s="20">
        <v>462.75</v>
      </c>
      <c r="F331" s="20">
        <v>208.57</v>
      </c>
      <c r="G331" s="20">
        <v>164.88</v>
      </c>
      <c r="H331" s="20">
        <v>142.43</v>
      </c>
      <c r="I331" s="20">
        <v>77.43</v>
      </c>
      <c r="J331" s="20">
        <v>0</v>
      </c>
      <c r="K331" s="22">
        <v>0</v>
      </c>
      <c r="L331" s="20">
        <v>6.42</v>
      </c>
      <c r="M331" s="20">
        <v>145.95</v>
      </c>
      <c r="N331" s="20">
        <v>313.68</v>
      </c>
      <c r="O331" s="20">
        <v>251.09</v>
      </c>
      <c r="P331" s="20">
        <v>313.63</v>
      </c>
      <c r="Q331" s="20">
        <f t="shared" si="10"/>
        <v>2086.83</v>
      </c>
    </row>
    <row r="332" spans="1:17" ht="12.75">
      <c r="A332" s="73">
        <f t="shared" si="9"/>
        <v>325</v>
      </c>
      <c r="B332" s="9" t="s">
        <v>413</v>
      </c>
      <c r="C332" s="9">
        <v>12278</v>
      </c>
      <c r="D332" s="17">
        <v>2</v>
      </c>
      <c r="E332" s="20">
        <v>135.6</v>
      </c>
      <c r="F332" s="20">
        <v>108.48</v>
      </c>
      <c r="G332" s="20">
        <v>94.92</v>
      </c>
      <c r="H332" s="20">
        <v>67.8</v>
      </c>
      <c r="I332" s="22">
        <v>40.68</v>
      </c>
      <c r="J332" s="20">
        <v>27.12</v>
      </c>
      <c r="K332" s="22">
        <f>ROUND(0.04*143.25,0)*3.53*2</f>
        <v>42.36</v>
      </c>
      <c r="L332" s="22">
        <f>ROUND(0.04*235.08,0)*3.53*2</f>
        <v>63.54</v>
      </c>
      <c r="M332" s="22">
        <f>ROUND(0.04*314.17,0)*3.53*2</f>
        <v>91.78</v>
      </c>
      <c r="N332" s="22">
        <f>ROUND(0.04*430.83,0)*3.53*2</f>
        <v>120.02</v>
      </c>
      <c r="O332" s="22">
        <f>ROUND(0.04*492.08,0)*3.53*2</f>
        <v>141.2</v>
      </c>
      <c r="P332" s="22">
        <f>ROUND(0.04*548.5,0)*3.53*2</f>
        <v>155.32</v>
      </c>
      <c r="Q332" s="20">
        <f t="shared" si="10"/>
        <v>1088.82</v>
      </c>
    </row>
    <row r="333" spans="1:17" ht="12.75">
      <c r="A333" s="73">
        <f aca="true" t="shared" si="11" ref="A333:A396">A332+1</f>
        <v>326</v>
      </c>
      <c r="B333" s="9" t="s">
        <v>414</v>
      </c>
      <c r="C333" s="9">
        <v>12279</v>
      </c>
      <c r="D333" s="17">
        <v>9</v>
      </c>
      <c r="E333" s="20">
        <v>610.2</v>
      </c>
      <c r="F333" s="20">
        <v>488.16</v>
      </c>
      <c r="G333" s="20">
        <v>427.14</v>
      </c>
      <c r="H333" s="20">
        <v>305.1</v>
      </c>
      <c r="I333" s="20">
        <v>183.06</v>
      </c>
      <c r="J333" s="20">
        <v>122.04</v>
      </c>
      <c r="K333" s="22">
        <f>ROUND(0.04*143.25,0)*3.53*9</f>
        <v>190.62</v>
      </c>
      <c r="L333" s="22">
        <f>ROUND(0.04*235.08,0)*3.53*9</f>
        <v>285.93</v>
      </c>
      <c r="M333" s="22">
        <f>ROUND(0.04*314.17,0)*3.53*9</f>
        <v>413.01</v>
      </c>
      <c r="N333" s="22">
        <f>ROUND(0.04*430.83,0)*3.53*9</f>
        <v>540.09</v>
      </c>
      <c r="O333" s="22">
        <f>ROUND(0.04*492.08,0)*3.53*9</f>
        <v>635.4</v>
      </c>
      <c r="P333" s="22">
        <f>ROUND(0.04*548.5,0)*3.53*9</f>
        <v>698.9399999999999</v>
      </c>
      <c r="Q333" s="20">
        <f t="shared" si="10"/>
        <v>4899.689999999999</v>
      </c>
    </row>
    <row r="334" spans="1:17" ht="12.75">
      <c r="A334" s="73">
        <f t="shared" si="11"/>
        <v>327</v>
      </c>
      <c r="B334" s="9" t="s">
        <v>415</v>
      </c>
      <c r="C334" s="9">
        <v>12280</v>
      </c>
      <c r="D334" s="17">
        <v>8</v>
      </c>
      <c r="E334" s="20">
        <v>542.4</v>
      </c>
      <c r="F334" s="20">
        <v>433.92</v>
      </c>
      <c r="G334" s="20">
        <v>379.68</v>
      </c>
      <c r="H334" s="20">
        <v>271.2</v>
      </c>
      <c r="I334" s="20">
        <v>162.72</v>
      </c>
      <c r="J334" s="20">
        <v>108.48</v>
      </c>
      <c r="K334" s="22">
        <f>ROUND(0.04*143.25,0)*3.53*8</f>
        <v>169.44</v>
      </c>
      <c r="L334" s="22">
        <f>ROUND(0.04*235.08,0)*3.53*8</f>
        <v>254.16</v>
      </c>
      <c r="M334" s="22">
        <f>ROUND(0.04*314.17,0)*3.53*8</f>
        <v>367.12</v>
      </c>
      <c r="N334" s="22">
        <f>ROUND(0.04*430.83,0)*3.53*8</f>
        <v>480.08</v>
      </c>
      <c r="O334" s="22">
        <f>ROUND(0.04*492.08,0)*3.53*8</f>
        <v>564.8</v>
      </c>
      <c r="P334" s="22">
        <f>ROUND(0.04*548.5,0)*3.53*8</f>
        <v>621.28</v>
      </c>
      <c r="Q334" s="20">
        <f t="shared" si="10"/>
        <v>4355.28</v>
      </c>
    </row>
    <row r="335" spans="1:17" ht="12.75">
      <c r="A335" s="73">
        <f t="shared" si="11"/>
        <v>328</v>
      </c>
      <c r="B335" s="9" t="s">
        <v>416</v>
      </c>
      <c r="C335" s="9">
        <v>12281</v>
      </c>
      <c r="D335" s="17">
        <v>9</v>
      </c>
      <c r="E335" s="20">
        <v>610.2</v>
      </c>
      <c r="F335" s="20">
        <v>488.16</v>
      </c>
      <c r="G335" s="20">
        <v>427.14</v>
      </c>
      <c r="H335" s="20">
        <v>305.1</v>
      </c>
      <c r="I335" s="20">
        <v>183.06</v>
      </c>
      <c r="J335" s="20">
        <v>122.04</v>
      </c>
      <c r="K335" s="22">
        <f>ROUND(0.04*143.25,0)*3.53*9</f>
        <v>190.62</v>
      </c>
      <c r="L335" s="22">
        <f>ROUND(0.04*235.08,0)*3.53*9</f>
        <v>285.93</v>
      </c>
      <c r="M335" s="22">
        <f>ROUND(0.04*314.17,0)*3.53*9</f>
        <v>413.01</v>
      </c>
      <c r="N335" s="22">
        <f>ROUND(0.04*430.83,0)*3.53*9</f>
        <v>540.09</v>
      </c>
      <c r="O335" s="22">
        <f>ROUND(0.04*492.08,0)*3.53*9</f>
        <v>635.4</v>
      </c>
      <c r="P335" s="22">
        <f>ROUND(0.04*548.5,0)*3.53*9</f>
        <v>698.9399999999999</v>
      </c>
      <c r="Q335" s="20">
        <f t="shared" si="10"/>
        <v>4899.689999999999</v>
      </c>
    </row>
    <row r="336" spans="1:17" ht="12.75">
      <c r="A336" s="73">
        <f t="shared" si="11"/>
        <v>329</v>
      </c>
      <c r="B336" s="9" t="s">
        <v>417</v>
      </c>
      <c r="C336" s="9">
        <v>12283</v>
      </c>
      <c r="D336" s="17">
        <v>10</v>
      </c>
      <c r="E336" s="20">
        <v>678</v>
      </c>
      <c r="F336" s="20">
        <v>542.4</v>
      </c>
      <c r="G336" s="20">
        <v>474.6</v>
      </c>
      <c r="H336" s="20">
        <v>339</v>
      </c>
      <c r="I336" s="20">
        <v>203.4</v>
      </c>
      <c r="J336" s="20">
        <v>135.6</v>
      </c>
      <c r="K336" s="22">
        <f>ROUND(0.04*143.25,0)*3.53*10</f>
        <v>211.8</v>
      </c>
      <c r="L336" s="22">
        <f>ROUND(0.04*235.08,0)*3.53*10</f>
        <v>317.7</v>
      </c>
      <c r="M336" s="22">
        <f>ROUND(0.04*314.17,0)*3.53*10</f>
        <v>458.9</v>
      </c>
      <c r="N336" s="22">
        <f>ROUND(0.04*430.83,0)*3.53*10</f>
        <v>600.1</v>
      </c>
      <c r="O336" s="22">
        <f>ROUND(0.04*492.08,0)*3.53*10</f>
        <v>706</v>
      </c>
      <c r="P336" s="22">
        <f>ROUND(0.04*548.5,0)*3.53*10</f>
        <v>776.5999999999999</v>
      </c>
      <c r="Q336" s="20">
        <f t="shared" si="10"/>
        <v>5444.1</v>
      </c>
    </row>
    <row r="337" spans="1:17" ht="12.75">
      <c r="A337" s="73">
        <f t="shared" si="11"/>
        <v>330</v>
      </c>
      <c r="B337" s="10" t="s">
        <v>418</v>
      </c>
      <c r="C337" s="10">
        <v>21444</v>
      </c>
      <c r="D337" s="45">
        <v>3</v>
      </c>
      <c r="E337" s="43">
        <v>203.4</v>
      </c>
      <c r="F337" s="43">
        <v>162.72</v>
      </c>
      <c r="G337" s="43">
        <v>142.38</v>
      </c>
      <c r="H337" s="43">
        <v>101.7</v>
      </c>
      <c r="I337" s="43">
        <v>61.02</v>
      </c>
      <c r="J337" s="43">
        <v>40.68</v>
      </c>
      <c r="K337" s="43">
        <f>ROUND(0.04*143.25,0)*3.53*3</f>
        <v>63.54</v>
      </c>
      <c r="L337" s="43">
        <f>ROUND(0.04*235.08,0)*3.53*3</f>
        <v>95.31</v>
      </c>
      <c r="M337" s="43"/>
      <c r="N337" s="43"/>
      <c r="O337" s="43"/>
      <c r="P337" s="43"/>
      <c r="Q337" s="43">
        <f t="shared" si="10"/>
        <v>870.75</v>
      </c>
    </row>
    <row r="338" spans="1:17" ht="12.75">
      <c r="A338" s="73">
        <f t="shared" si="11"/>
        <v>331</v>
      </c>
      <c r="B338" s="27" t="s">
        <v>419</v>
      </c>
      <c r="C338" s="10">
        <v>23648</v>
      </c>
      <c r="D338" s="26" t="s">
        <v>583</v>
      </c>
      <c r="E338" s="22"/>
      <c r="F338" s="22"/>
      <c r="G338" s="20"/>
      <c r="H338" s="20"/>
      <c r="I338" s="20"/>
      <c r="J338" s="20"/>
      <c r="K338" s="22"/>
      <c r="L338" s="20"/>
      <c r="M338" s="20"/>
      <c r="N338" s="20"/>
      <c r="O338" s="20"/>
      <c r="P338" s="20"/>
      <c r="Q338" s="20">
        <f t="shared" si="10"/>
        <v>0</v>
      </c>
    </row>
    <row r="339" spans="1:17" ht="12.75">
      <c r="A339" s="73">
        <f t="shared" si="11"/>
        <v>332</v>
      </c>
      <c r="B339" s="10" t="s">
        <v>420</v>
      </c>
      <c r="C339" s="10">
        <v>23020</v>
      </c>
      <c r="D339" s="45">
        <v>4</v>
      </c>
      <c r="E339" s="43">
        <v>271.2</v>
      </c>
      <c r="F339" s="43">
        <v>216.96</v>
      </c>
      <c r="G339" s="43">
        <v>189.84</v>
      </c>
      <c r="H339" s="43">
        <v>135.6</v>
      </c>
      <c r="I339" s="43">
        <v>81.36</v>
      </c>
      <c r="J339" s="43">
        <v>54.24</v>
      </c>
      <c r="K339" s="43">
        <f>ROUND(0.04*143.25,0)*3.53*4</f>
        <v>84.72</v>
      </c>
      <c r="L339" s="43">
        <f>ROUND(0.04*235.08,0)*3.53*4</f>
        <v>127.08</v>
      </c>
      <c r="M339" s="43">
        <f>ROUND(0.04*314.17,0)*3.53*4</f>
        <v>183.56</v>
      </c>
      <c r="N339" s="43">
        <f>ROUND(0.04*430.83,0)*3.53*4</f>
        <v>240.04</v>
      </c>
      <c r="O339" s="43">
        <f>ROUND(0.04*492.08,0)*3.53*4</f>
        <v>282.4</v>
      </c>
      <c r="P339" s="43">
        <f>ROUND(0.04*548.5,0)*3.53*4</f>
        <v>310.64</v>
      </c>
      <c r="Q339" s="43">
        <f t="shared" si="10"/>
        <v>2177.64</v>
      </c>
    </row>
    <row r="340" spans="1:17" ht="12.75">
      <c r="A340" s="73">
        <f t="shared" si="11"/>
        <v>333</v>
      </c>
      <c r="B340" s="9" t="s">
        <v>421</v>
      </c>
      <c r="C340" s="9">
        <v>23010</v>
      </c>
      <c r="D340" s="17" t="s">
        <v>585</v>
      </c>
      <c r="E340" s="20">
        <v>728.79</v>
      </c>
      <c r="F340" s="20">
        <v>1340.3</v>
      </c>
      <c r="G340" s="20">
        <v>675.22</v>
      </c>
      <c r="H340" s="20">
        <v>536.83</v>
      </c>
      <c r="I340" s="20">
        <v>263.9</v>
      </c>
      <c r="J340" s="20">
        <v>187.18</v>
      </c>
      <c r="K340" s="22">
        <v>135.35</v>
      </c>
      <c r="L340" s="20">
        <v>135.35</v>
      </c>
      <c r="M340" s="20">
        <v>133.21</v>
      </c>
      <c r="N340" s="20">
        <v>92.6</v>
      </c>
      <c r="O340" s="20">
        <v>179.74</v>
      </c>
      <c r="P340" s="20">
        <v>1198.05</v>
      </c>
      <c r="Q340" s="20">
        <f t="shared" si="10"/>
        <v>5606.52</v>
      </c>
    </row>
    <row r="341" spans="1:17" ht="12.75">
      <c r="A341" s="73">
        <f t="shared" si="11"/>
        <v>334</v>
      </c>
      <c r="B341" s="9" t="s">
        <v>422</v>
      </c>
      <c r="C341" s="9">
        <v>23013</v>
      </c>
      <c r="D341" s="17" t="s">
        <v>585</v>
      </c>
      <c r="E341" s="20">
        <v>2310.77</v>
      </c>
      <c r="F341" s="20">
        <v>2108.3</v>
      </c>
      <c r="G341" s="20">
        <v>1198.42</v>
      </c>
      <c r="H341" s="20">
        <v>1135.75</v>
      </c>
      <c r="I341" s="20">
        <v>566.23</v>
      </c>
      <c r="J341" s="20">
        <v>260.49</v>
      </c>
      <c r="K341" s="22">
        <v>3006.31</v>
      </c>
      <c r="L341" s="20">
        <v>400.18</v>
      </c>
      <c r="M341" s="20">
        <v>556.4</v>
      </c>
      <c r="N341" s="20">
        <v>543.56</v>
      </c>
      <c r="O341" s="20">
        <v>603.48</v>
      </c>
      <c r="P341" s="20">
        <v>1808.29</v>
      </c>
      <c r="Q341" s="20">
        <f t="shared" si="10"/>
        <v>14498.179999999997</v>
      </c>
    </row>
    <row r="342" spans="1:17" ht="12.75">
      <c r="A342" s="73">
        <f t="shared" si="11"/>
        <v>335</v>
      </c>
      <c r="B342" s="9" t="s">
        <v>423</v>
      </c>
      <c r="C342" s="9">
        <v>23001</v>
      </c>
      <c r="D342" s="17" t="s">
        <v>585</v>
      </c>
      <c r="E342" s="20">
        <v>813.33</v>
      </c>
      <c r="F342" s="20">
        <v>670.04</v>
      </c>
      <c r="G342" s="20">
        <v>576.63</v>
      </c>
      <c r="H342" s="20">
        <v>210.76</v>
      </c>
      <c r="I342" s="20">
        <v>227.67</v>
      </c>
      <c r="J342" s="20">
        <v>192.44</v>
      </c>
      <c r="K342" s="22">
        <v>184.42</v>
      </c>
      <c r="L342" s="20">
        <v>228.63</v>
      </c>
      <c r="M342" s="20">
        <v>393.64</v>
      </c>
      <c r="N342" s="20">
        <v>343.11</v>
      </c>
      <c r="O342" s="20">
        <v>650.55</v>
      </c>
      <c r="P342" s="20">
        <v>785.02</v>
      </c>
      <c r="Q342" s="20">
        <f t="shared" si="10"/>
        <v>5276.24</v>
      </c>
    </row>
    <row r="343" spans="1:17" ht="12.75">
      <c r="A343" s="73">
        <f t="shared" si="11"/>
        <v>336</v>
      </c>
      <c r="B343" s="9" t="s">
        <v>424</v>
      </c>
      <c r="C343" s="9">
        <v>23002</v>
      </c>
      <c r="D343" s="17" t="s">
        <v>585</v>
      </c>
      <c r="E343" s="20">
        <v>1035.05</v>
      </c>
      <c r="F343" s="20">
        <v>902.7</v>
      </c>
      <c r="G343" s="20">
        <v>633.53</v>
      </c>
      <c r="H343" s="20">
        <v>598.36</v>
      </c>
      <c r="I343" s="20">
        <v>309.23</v>
      </c>
      <c r="J343" s="20">
        <v>272.86</v>
      </c>
      <c r="K343" s="22">
        <v>204.16</v>
      </c>
      <c r="L343" s="20">
        <v>340.14</v>
      </c>
      <c r="M343" s="20">
        <v>553.29</v>
      </c>
      <c r="N343" s="20">
        <v>558.98</v>
      </c>
      <c r="O343" s="20">
        <v>870.6</v>
      </c>
      <c r="P343" s="20">
        <v>849.4</v>
      </c>
      <c r="Q343" s="20">
        <f t="shared" si="10"/>
        <v>7128.299999999999</v>
      </c>
    </row>
    <row r="344" spans="1:17" ht="12.75">
      <c r="A344" s="73">
        <f t="shared" si="11"/>
        <v>337</v>
      </c>
      <c r="B344" s="9" t="s">
        <v>425</v>
      </c>
      <c r="C344" s="9">
        <v>23003</v>
      </c>
      <c r="D344" s="17" t="s">
        <v>585</v>
      </c>
      <c r="E344" s="20">
        <v>884.23</v>
      </c>
      <c r="F344" s="20">
        <v>893.25</v>
      </c>
      <c r="G344" s="20">
        <v>586.57</v>
      </c>
      <c r="H344" s="20">
        <v>623.79</v>
      </c>
      <c r="I344" s="20">
        <v>580.53</v>
      </c>
      <c r="J344" s="20">
        <v>299.57</v>
      </c>
      <c r="K344" s="22">
        <v>420.23</v>
      </c>
      <c r="L344" s="20">
        <v>283.87</v>
      </c>
      <c r="M344" s="20">
        <v>566.33</v>
      </c>
      <c r="N344" s="20">
        <v>577.71</v>
      </c>
      <c r="O344" s="20">
        <v>1111.19</v>
      </c>
      <c r="P344" s="20">
        <v>994.67</v>
      </c>
      <c r="Q344" s="20">
        <f t="shared" si="10"/>
        <v>7821.9400000000005</v>
      </c>
    </row>
    <row r="345" spans="1:17" ht="12.75">
      <c r="A345" s="73">
        <f t="shared" si="11"/>
        <v>338</v>
      </c>
      <c r="B345" s="9" t="s">
        <v>565</v>
      </c>
      <c r="C345" s="11">
        <v>23004</v>
      </c>
      <c r="D345" s="17" t="s">
        <v>585</v>
      </c>
      <c r="E345" s="20">
        <v>1537.44</v>
      </c>
      <c r="F345" s="20">
        <v>1567.49</v>
      </c>
      <c r="G345" s="20">
        <v>962.94</v>
      </c>
      <c r="H345" s="20">
        <v>489.8</v>
      </c>
      <c r="I345" s="20">
        <v>365.49</v>
      </c>
      <c r="J345" s="20">
        <v>289.98</v>
      </c>
      <c r="K345" s="22">
        <v>189.18</v>
      </c>
      <c r="L345" s="20">
        <v>318.11</v>
      </c>
      <c r="M345" s="20">
        <v>690.93</v>
      </c>
      <c r="N345" s="20">
        <v>679.55</v>
      </c>
      <c r="O345" s="20">
        <v>1316.61</v>
      </c>
      <c r="P345" s="20">
        <v>1603.78</v>
      </c>
      <c r="Q345" s="20">
        <f t="shared" si="10"/>
        <v>10011.300000000001</v>
      </c>
    </row>
    <row r="346" spans="1:17" ht="12.75">
      <c r="A346" s="73">
        <f t="shared" si="11"/>
        <v>339</v>
      </c>
      <c r="B346" s="9" t="s">
        <v>426</v>
      </c>
      <c r="C346" s="9">
        <v>21819</v>
      </c>
      <c r="D346" s="31" t="s">
        <v>588</v>
      </c>
      <c r="E346" s="20">
        <v>26986.63</v>
      </c>
      <c r="F346" s="20">
        <v>5623.6</v>
      </c>
      <c r="G346" s="20">
        <v>28176.15</v>
      </c>
      <c r="H346" s="20">
        <v>11002.21</v>
      </c>
      <c r="I346" s="20">
        <v>23491.05</v>
      </c>
      <c r="J346" s="20">
        <v>18763.59</v>
      </c>
      <c r="K346" s="22">
        <v>27020.14</v>
      </c>
      <c r="L346" s="20">
        <v>18134.22</v>
      </c>
      <c r="M346" s="20">
        <v>23541.01</v>
      </c>
      <c r="N346" s="20">
        <v>24075.92</v>
      </c>
      <c r="O346" s="20">
        <v>21655.36</v>
      </c>
      <c r="P346" s="20">
        <v>16039.28</v>
      </c>
      <c r="Q346" s="20">
        <f t="shared" si="10"/>
        <v>244509.16</v>
      </c>
    </row>
    <row r="347" spans="1:231" s="44" customFormat="1" ht="12.75">
      <c r="A347" s="73">
        <f t="shared" si="11"/>
        <v>340</v>
      </c>
      <c r="B347" s="9" t="s">
        <v>427</v>
      </c>
      <c r="C347" s="9">
        <v>21812</v>
      </c>
      <c r="D347" s="31" t="s">
        <v>588</v>
      </c>
      <c r="E347" s="20">
        <v>8884.87</v>
      </c>
      <c r="F347" s="20">
        <v>3201.25</v>
      </c>
      <c r="G347" s="20">
        <v>9040.45</v>
      </c>
      <c r="H347" s="20">
        <v>8983.05</v>
      </c>
      <c r="I347" s="20">
        <v>5518.63</v>
      </c>
      <c r="J347" s="20">
        <v>7559.76</v>
      </c>
      <c r="K347" s="22">
        <v>10733.8</v>
      </c>
      <c r="L347" s="20">
        <v>7368.42</v>
      </c>
      <c r="M347" s="20">
        <v>9306.71</v>
      </c>
      <c r="N347" s="20">
        <v>8755.53</v>
      </c>
      <c r="O347" s="20">
        <v>7337.93</v>
      </c>
      <c r="P347" s="20">
        <v>9182.71</v>
      </c>
      <c r="Q347" s="20">
        <f t="shared" si="10"/>
        <v>95873.10999999999</v>
      </c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</row>
    <row r="348" spans="1:17" ht="12.75">
      <c r="A348" s="73">
        <f t="shared" si="11"/>
        <v>341</v>
      </c>
      <c r="B348" s="9" t="s">
        <v>428</v>
      </c>
      <c r="C348" s="9">
        <v>21448</v>
      </c>
      <c r="D348" s="17" t="s">
        <v>585</v>
      </c>
      <c r="E348" s="20">
        <v>3004.63</v>
      </c>
      <c r="F348" s="20">
        <v>2755.42</v>
      </c>
      <c r="G348" s="20">
        <v>2702.78</v>
      </c>
      <c r="H348" s="20">
        <v>832.58</v>
      </c>
      <c r="I348" s="20">
        <v>2098.44</v>
      </c>
      <c r="J348" s="20">
        <v>1325.32</v>
      </c>
      <c r="K348" s="22">
        <v>2049.39</v>
      </c>
      <c r="L348" s="20">
        <v>2363.7</v>
      </c>
      <c r="M348" s="20">
        <v>13443.38</v>
      </c>
      <c r="N348" s="20">
        <v>13093.92</v>
      </c>
      <c r="O348" s="20">
        <v>15780.58</v>
      </c>
      <c r="P348" s="20">
        <v>14105.49</v>
      </c>
      <c r="Q348" s="20">
        <f t="shared" si="10"/>
        <v>73555.63</v>
      </c>
    </row>
    <row r="349" spans="1:231" s="44" customFormat="1" ht="12.75">
      <c r="A349" s="73">
        <f t="shared" si="11"/>
        <v>342</v>
      </c>
      <c r="B349" s="9" t="s">
        <v>429</v>
      </c>
      <c r="C349" s="9">
        <v>21451</v>
      </c>
      <c r="D349" s="17">
        <v>4</v>
      </c>
      <c r="E349" s="20">
        <v>271.2</v>
      </c>
      <c r="F349" s="20">
        <v>216.96</v>
      </c>
      <c r="G349" s="20">
        <v>189.84</v>
      </c>
      <c r="H349" s="20">
        <v>135.6</v>
      </c>
      <c r="I349" s="20">
        <v>81.36</v>
      </c>
      <c r="J349" s="20">
        <v>54.24</v>
      </c>
      <c r="K349" s="22">
        <f>ROUND(0.04*143.25,0)*3.53*4</f>
        <v>84.72</v>
      </c>
      <c r="L349" s="22">
        <f>ROUND(0.04*235.08,0)*3.53*4</f>
        <v>127.08</v>
      </c>
      <c r="M349" s="22">
        <f>ROUND(0.04*314.17,0)*3.53*4</f>
        <v>183.56</v>
      </c>
      <c r="N349" s="22">
        <f>ROUND(0.04*430.83,0)*3.53*4</f>
        <v>240.04</v>
      </c>
      <c r="O349" s="22">
        <f>ROUND(0.04*492.08,0)*3.53*4</f>
        <v>282.4</v>
      </c>
      <c r="P349" s="22">
        <f>ROUND(0.04*548.5,0)*3.53*4</f>
        <v>310.64</v>
      </c>
      <c r="Q349" s="20">
        <f t="shared" si="10"/>
        <v>2177.64</v>
      </c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</row>
    <row r="350" spans="1:17" ht="12.75">
      <c r="A350" s="73">
        <f t="shared" si="11"/>
        <v>343</v>
      </c>
      <c r="B350" s="9" t="s">
        <v>430</v>
      </c>
      <c r="C350" s="9">
        <v>21449</v>
      </c>
      <c r="D350" s="17">
        <v>2</v>
      </c>
      <c r="E350" s="20">
        <v>135.6</v>
      </c>
      <c r="F350" s="20">
        <v>108.48</v>
      </c>
      <c r="G350" s="20">
        <v>94.92</v>
      </c>
      <c r="H350" s="20">
        <v>67.8</v>
      </c>
      <c r="I350" s="22">
        <v>40.68</v>
      </c>
      <c r="J350" s="20">
        <v>27.12</v>
      </c>
      <c r="K350" s="22">
        <f>ROUND(0.04*143.25,0)*3.53*2</f>
        <v>42.36</v>
      </c>
      <c r="L350" s="22">
        <f>ROUND(0.04*235.08,0)*3.53*2</f>
        <v>63.54</v>
      </c>
      <c r="M350" s="22">
        <f>ROUND(0.04*314.17,0)*3.53*2</f>
        <v>91.78</v>
      </c>
      <c r="N350" s="22">
        <f>ROUND(0.04*430.83,0)*3.53*2</f>
        <v>120.02</v>
      </c>
      <c r="O350" s="22">
        <f>ROUND(0.04*492.08,0)*3.53*2</f>
        <v>141.2</v>
      </c>
      <c r="P350" s="22">
        <f>ROUND(0.04*548.5,0)*3.53*2</f>
        <v>155.32</v>
      </c>
      <c r="Q350" s="20">
        <f t="shared" si="10"/>
        <v>1088.82</v>
      </c>
    </row>
    <row r="351" spans="1:231" s="44" customFormat="1" ht="12.75">
      <c r="A351" s="73">
        <f t="shared" si="11"/>
        <v>344</v>
      </c>
      <c r="B351" s="9" t="s">
        <v>431</v>
      </c>
      <c r="C351" s="9">
        <v>21463</v>
      </c>
      <c r="D351" s="17">
        <v>35</v>
      </c>
      <c r="E351" s="20">
        <v>2373</v>
      </c>
      <c r="F351" s="20">
        <v>1898.4</v>
      </c>
      <c r="G351" s="20">
        <v>1661.1</v>
      </c>
      <c r="H351" s="20">
        <v>1186.5</v>
      </c>
      <c r="I351" s="20">
        <v>711.9</v>
      </c>
      <c r="J351" s="20">
        <v>474.6</v>
      </c>
      <c r="K351" s="36">
        <f>ROUND(0.04*143.25,0)*3.53*35</f>
        <v>741.3</v>
      </c>
      <c r="L351" s="20">
        <f>152.65+184.04</f>
        <v>336.69</v>
      </c>
      <c r="M351" s="20">
        <f>347.9+273.92</f>
        <v>621.8199999999999</v>
      </c>
      <c r="N351" s="20">
        <v>599.79</v>
      </c>
      <c r="O351" s="20">
        <v>1076.8</v>
      </c>
      <c r="P351" s="20">
        <v>1151.55</v>
      </c>
      <c r="Q351" s="20">
        <f t="shared" si="10"/>
        <v>12833.449999999997</v>
      </c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</row>
    <row r="352" spans="1:17" ht="12.75">
      <c r="A352" s="73">
        <f t="shared" si="11"/>
        <v>345</v>
      </c>
      <c r="B352" s="25" t="s">
        <v>599</v>
      </c>
      <c r="C352" s="9"/>
      <c r="D352" s="17"/>
      <c r="E352" s="20"/>
      <c r="F352" s="20"/>
      <c r="G352" s="20"/>
      <c r="H352" s="20"/>
      <c r="I352" s="20"/>
      <c r="J352" s="20"/>
      <c r="K352" s="22">
        <v>7964.09</v>
      </c>
      <c r="L352" s="20">
        <v>4930.75</v>
      </c>
      <c r="M352" s="20">
        <v>6742.11</v>
      </c>
      <c r="N352" s="20">
        <v>10709.02</v>
      </c>
      <c r="O352" s="20">
        <v>17017.03</v>
      </c>
      <c r="P352" s="20">
        <v>6498.22</v>
      </c>
      <c r="Q352" s="20">
        <f t="shared" si="10"/>
        <v>53861.22</v>
      </c>
    </row>
    <row r="353" spans="1:17" ht="12.75">
      <c r="A353" s="73">
        <f t="shared" si="11"/>
        <v>346</v>
      </c>
      <c r="B353" s="10" t="s">
        <v>564</v>
      </c>
      <c r="C353" s="10">
        <v>10009</v>
      </c>
      <c r="D353" s="45" t="s">
        <v>584</v>
      </c>
      <c r="E353" s="46"/>
      <c r="F353" s="43"/>
      <c r="G353" s="43"/>
      <c r="H353" s="43"/>
      <c r="I353" s="43"/>
      <c r="J353" s="43"/>
      <c r="K353" s="43"/>
      <c r="L353" s="43"/>
      <c r="M353" s="46"/>
      <c r="N353" s="46"/>
      <c r="O353" s="46"/>
      <c r="P353" s="46"/>
      <c r="Q353" s="43">
        <f t="shared" si="10"/>
        <v>0</v>
      </c>
    </row>
    <row r="354" spans="1:17" ht="12.75">
      <c r="A354" s="73">
        <f t="shared" si="11"/>
        <v>347</v>
      </c>
      <c r="B354" s="48" t="s">
        <v>432</v>
      </c>
      <c r="C354" s="10">
        <v>10015</v>
      </c>
      <c r="D354" s="49" t="s">
        <v>584</v>
      </c>
      <c r="E354" s="43">
        <v>20249.97</v>
      </c>
      <c r="F354" s="43">
        <v>25255.51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f t="shared" si="10"/>
        <v>45505.479999999996</v>
      </c>
    </row>
    <row r="355" spans="1:231" s="44" customFormat="1" ht="12.75">
      <c r="A355" s="73">
        <f t="shared" si="11"/>
        <v>348</v>
      </c>
      <c r="B355" s="9" t="s">
        <v>433</v>
      </c>
      <c r="C355" s="9">
        <v>21457</v>
      </c>
      <c r="D355" s="17">
        <v>1</v>
      </c>
      <c r="E355" s="21">
        <v>67.8</v>
      </c>
      <c r="F355" s="20">
        <v>54.24</v>
      </c>
      <c r="G355" s="20">
        <v>47.46</v>
      </c>
      <c r="H355" s="20">
        <v>33.9</v>
      </c>
      <c r="I355" s="20">
        <v>20.34</v>
      </c>
      <c r="J355" s="20">
        <v>13.56</v>
      </c>
      <c r="K355" s="22">
        <f>ROUND(0.04*143.25,0)*3.53</f>
        <v>21.18</v>
      </c>
      <c r="L355" s="22">
        <f>ROUND(0.04*235.08,0)*3.53</f>
        <v>31.77</v>
      </c>
      <c r="M355" s="22">
        <f>ROUND(0.04*314.17,0)*3.53</f>
        <v>45.89</v>
      </c>
      <c r="N355" s="22">
        <f>ROUND(0.04*430.83,0)*3.53</f>
        <v>60.01</v>
      </c>
      <c r="O355" s="22">
        <f>ROUND(0.04*492.08,0)*3.53</f>
        <v>70.6</v>
      </c>
      <c r="P355" s="22">
        <f>ROUND(0.04*548.5,0)*3.53</f>
        <v>77.66</v>
      </c>
      <c r="Q355" s="20">
        <f t="shared" si="10"/>
        <v>544.41</v>
      </c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</row>
    <row r="356" spans="1:17" ht="12.75">
      <c r="A356" s="73">
        <f t="shared" si="11"/>
        <v>349</v>
      </c>
      <c r="B356" s="10" t="s">
        <v>434</v>
      </c>
      <c r="C356" s="10">
        <v>21460</v>
      </c>
      <c r="D356" s="45">
        <v>2</v>
      </c>
      <c r="E356" s="43">
        <v>135.6</v>
      </c>
      <c r="F356" s="43">
        <v>108.48</v>
      </c>
      <c r="G356" s="43">
        <v>94.92</v>
      </c>
      <c r="H356" s="43">
        <v>67.8</v>
      </c>
      <c r="I356" s="43">
        <v>40.68</v>
      </c>
      <c r="J356" s="43">
        <v>27.12</v>
      </c>
      <c r="K356" s="43">
        <f>ROUND(0.04*143.25,0)*3.53*2</f>
        <v>42.36</v>
      </c>
      <c r="L356" s="43">
        <f>ROUND(0.04*235.08,0)*3.53*2</f>
        <v>63.54</v>
      </c>
      <c r="M356" s="43">
        <f>ROUND(0.04*314.17,0)*3.53*2</f>
        <v>91.78</v>
      </c>
      <c r="N356" s="43">
        <f>ROUND(0.04*430.83,0)*3.53*2</f>
        <v>120.02</v>
      </c>
      <c r="O356" s="43">
        <f>ROUND(0.04*492.08,0)*3.53*2</f>
        <v>141.2</v>
      </c>
      <c r="P356" s="43">
        <f>ROUND(0.04*548.5,0)*3.53*2</f>
        <v>155.32</v>
      </c>
      <c r="Q356" s="43">
        <f t="shared" si="10"/>
        <v>1088.82</v>
      </c>
    </row>
    <row r="357" spans="1:17" ht="12.75">
      <c r="A357" s="73">
        <f t="shared" si="11"/>
        <v>350</v>
      </c>
      <c r="B357" s="9" t="s">
        <v>435</v>
      </c>
      <c r="C357" s="9">
        <v>21688</v>
      </c>
      <c r="D357" s="17">
        <v>1</v>
      </c>
      <c r="E357" s="21">
        <v>67.8</v>
      </c>
      <c r="F357" s="20">
        <v>54.24</v>
      </c>
      <c r="G357" s="20">
        <v>47.46</v>
      </c>
      <c r="H357" s="20">
        <v>33.9</v>
      </c>
      <c r="I357" s="20">
        <v>20.34</v>
      </c>
      <c r="J357" s="20">
        <v>13.56</v>
      </c>
      <c r="K357" s="22">
        <f>ROUND(0.04*143.25,0)*3.53</f>
        <v>21.18</v>
      </c>
      <c r="L357" s="22">
        <f>ROUND(0.04*235.08,0)*3.53</f>
        <v>31.77</v>
      </c>
      <c r="M357" s="22">
        <f>ROUND(0.04*314.17,0)*3.53</f>
        <v>45.89</v>
      </c>
      <c r="N357" s="22">
        <f>ROUND(0.04*430.83,0)*3.53</f>
        <v>60.01</v>
      </c>
      <c r="O357" s="22">
        <f>ROUND(0.04*492.08,0)*3.53</f>
        <v>70.6</v>
      </c>
      <c r="P357" s="22">
        <f>ROUND(0.04*548.5,0)*3.53</f>
        <v>77.66</v>
      </c>
      <c r="Q357" s="20">
        <f t="shared" si="10"/>
        <v>544.41</v>
      </c>
    </row>
    <row r="358" spans="1:17" ht="12.75">
      <c r="A358" s="73">
        <f t="shared" si="11"/>
        <v>351</v>
      </c>
      <c r="B358" s="9" t="s">
        <v>436</v>
      </c>
      <c r="C358" s="9">
        <v>21690</v>
      </c>
      <c r="D358" s="17">
        <v>2</v>
      </c>
      <c r="E358" s="20">
        <v>135.6</v>
      </c>
      <c r="F358" s="20">
        <v>108.48</v>
      </c>
      <c r="G358" s="20">
        <v>94.92</v>
      </c>
      <c r="H358" s="20">
        <v>67.8</v>
      </c>
      <c r="I358" s="22">
        <v>40.68</v>
      </c>
      <c r="J358" s="20">
        <v>27.12</v>
      </c>
      <c r="K358" s="22">
        <f>ROUND(0.04*143.25,0)*3.53*2</f>
        <v>42.36</v>
      </c>
      <c r="L358" s="22">
        <f>ROUND(0.04*235.08,0)*3.53*2</f>
        <v>63.54</v>
      </c>
      <c r="M358" s="22">
        <f>ROUND(0.04*314.17,0)*3.53*2</f>
        <v>91.78</v>
      </c>
      <c r="N358" s="22">
        <f>ROUND(0.04*430.83,0)*3.53*2</f>
        <v>120.02</v>
      </c>
      <c r="O358" s="22">
        <f>ROUND(0.04*492.08,0)*3.53*2</f>
        <v>141.2</v>
      </c>
      <c r="P358" s="22">
        <f>ROUND(0.04*548.5,0)*3.53*2</f>
        <v>155.32</v>
      </c>
      <c r="Q358" s="20">
        <f t="shared" si="10"/>
        <v>1088.82</v>
      </c>
    </row>
    <row r="359" spans="1:17" ht="12.75">
      <c r="A359" s="73">
        <f t="shared" si="11"/>
        <v>352</v>
      </c>
      <c r="B359" s="9" t="s">
        <v>437</v>
      </c>
      <c r="C359" s="9">
        <v>21696</v>
      </c>
      <c r="D359" s="17">
        <v>2</v>
      </c>
      <c r="E359" s="20">
        <v>135.6</v>
      </c>
      <c r="F359" s="20">
        <v>108.48</v>
      </c>
      <c r="G359" s="20">
        <v>94.92</v>
      </c>
      <c r="H359" s="20">
        <v>67.8</v>
      </c>
      <c r="I359" s="22">
        <v>40.68</v>
      </c>
      <c r="J359" s="20">
        <v>27.12</v>
      </c>
      <c r="K359" s="22">
        <f>ROUND(0.04*143.25,0)*3.53*2</f>
        <v>42.36</v>
      </c>
      <c r="L359" s="22">
        <f>ROUND(0.04*235.08,0)*3.53*2</f>
        <v>63.54</v>
      </c>
      <c r="M359" s="22">
        <f>ROUND(0.04*314.17,0)*3.53*2</f>
        <v>91.78</v>
      </c>
      <c r="N359" s="22">
        <f>ROUND(0.04*430.83,0)*3.53*2</f>
        <v>120.02</v>
      </c>
      <c r="O359" s="22">
        <f>ROUND(0.04*492.08,0)*3.53*2</f>
        <v>141.2</v>
      </c>
      <c r="P359" s="22">
        <f>ROUND(0.04*548.5,0)*3.53*2</f>
        <v>155.32</v>
      </c>
      <c r="Q359" s="20">
        <f t="shared" si="10"/>
        <v>1088.82</v>
      </c>
    </row>
    <row r="360" spans="1:17" ht="12.75">
      <c r="A360" s="73">
        <f t="shared" si="11"/>
        <v>353</v>
      </c>
      <c r="B360" s="9" t="s">
        <v>438</v>
      </c>
      <c r="C360" s="9">
        <v>21698</v>
      </c>
      <c r="D360" s="17">
        <v>1</v>
      </c>
      <c r="E360" s="21">
        <v>67.8</v>
      </c>
      <c r="F360" s="20">
        <v>54.24</v>
      </c>
      <c r="G360" s="20">
        <v>47.46</v>
      </c>
      <c r="H360" s="20">
        <v>33.9</v>
      </c>
      <c r="I360" s="20">
        <v>20.34</v>
      </c>
      <c r="J360" s="20">
        <v>13.56</v>
      </c>
      <c r="K360" s="22">
        <f>ROUND(0.04*143.25,0)*3.53</f>
        <v>21.18</v>
      </c>
      <c r="L360" s="22">
        <f>ROUND(0.04*235.08,0)*3.53</f>
        <v>31.77</v>
      </c>
      <c r="M360" s="22">
        <f>ROUND(0.04*314.17,0)*3.53</f>
        <v>45.89</v>
      </c>
      <c r="N360" s="22">
        <f>ROUND(0.04*430.83,0)*3.53</f>
        <v>60.01</v>
      </c>
      <c r="O360" s="22">
        <f>ROUND(0.04*492.08,0)*3.53</f>
        <v>70.6</v>
      </c>
      <c r="P360" s="22">
        <f>ROUND(0.04*548.5,0)*3.53</f>
        <v>77.66</v>
      </c>
      <c r="Q360" s="20">
        <f t="shared" si="10"/>
        <v>544.41</v>
      </c>
    </row>
    <row r="361" spans="1:17" ht="12.75">
      <c r="A361" s="73">
        <f t="shared" si="11"/>
        <v>354</v>
      </c>
      <c r="B361" s="9" t="s">
        <v>439</v>
      </c>
      <c r="C361" s="9">
        <v>23704</v>
      </c>
      <c r="D361" s="17" t="s">
        <v>584</v>
      </c>
      <c r="E361" s="21"/>
      <c r="F361" s="20"/>
      <c r="G361" s="20"/>
      <c r="H361" s="20"/>
      <c r="I361" s="20"/>
      <c r="J361" s="20"/>
      <c r="K361" s="22"/>
      <c r="L361" s="20"/>
      <c r="M361" s="21"/>
      <c r="N361" s="21"/>
      <c r="O361" s="21"/>
      <c r="P361" s="21"/>
      <c r="Q361" s="20">
        <f t="shared" si="10"/>
        <v>0</v>
      </c>
    </row>
    <row r="362" spans="1:17" ht="12.75">
      <c r="A362" s="73">
        <f t="shared" si="11"/>
        <v>355</v>
      </c>
      <c r="B362" s="47" t="s">
        <v>609</v>
      </c>
      <c r="C362" s="10"/>
      <c r="D362" s="45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>
        <f t="shared" si="10"/>
        <v>0</v>
      </c>
    </row>
    <row r="363" spans="1:17" ht="12.75">
      <c r="A363" s="73">
        <f t="shared" si="11"/>
        <v>356</v>
      </c>
      <c r="B363" s="9" t="s">
        <v>440</v>
      </c>
      <c r="C363" s="9">
        <v>12289</v>
      </c>
      <c r="D363" s="17" t="s">
        <v>584</v>
      </c>
      <c r="E363" s="21"/>
      <c r="F363" s="20"/>
      <c r="G363" s="20"/>
      <c r="H363" s="20"/>
      <c r="I363" s="20"/>
      <c r="J363" s="20"/>
      <c r="K363" s="22"/>
      <c r="L363" s="20"/>
      <c r="M363" s="21"/>
      <c r="N363" s="21"/>
      <c r="O363" s="21"/>
      <c r="P363" s="21"/>
      <c r="Q363" s="20">
        <f t="shared" si="10"/>
        <v>0</v>
      </c>
    </row>
    <row r="364" spans="1:17" ht="12.75">
      <c r="A364" s="73">
        <f t="shared" si="11"/>
        <v>357</v>
      </c>
      <c r="B364" s="9" t="s">
        <v>441</v>
      </c>
      <c r="C364" s="9">
        <v>12295</v>
      </c>
      <c r="D364" s="17">
        <v>16</v>
      </c>
      <c r="E364" s="20">
        <v>1084.8</v>
      </c>
      <c r="F364" s="20">
        <v>867.84</v>
      </c>
      <c r="G364" s="20">
        <v>759.36</v>
      </c>
      <c r="H364" s="20">
        <v>542.4</v>
      </c>
      <c r="I364" s="20">
        <v>325.44</v>
      </c>
      <c r="J364" s="20">
        <v>216.96</v>
      </c>
      <c r="K364" s="22">
        <f>ROUND(0.04*143.25,0)*3.53*16</f>
        <v>338.88</v>
      </c>
      <c r="L364" s="22">
        <f>ROUND(0.04*235.08,0)*3.53*16</f>
        <v>508.32</v>
      </c>
      <c r="M364" s="22">
        <f>ROUND(0.04*314.17,0)*3.53*16</f>
        <v>734.24</v>
      </c>
      <c r="N364" s="22">
        <f>ROUND(0.04*430.83,0)*3.53*16</f>
        <v>960.16</v>
      </c>
      <c r="O364" s="22">
        <f>ROUND(0.04*492.08,0)*3.53*16</f>
        <v>1129.6</v>
      </c>
      <c r="P364" s="22">
        <f>ROUND(0.04*548.5,0)*3.53*16</f>
        <v>1242.56</v>
      </c>
      <c r="Q364" s="20">
        <f t="shared" si="10"/>
        <v>8710.56</v>
      </c>
    </row>
    <row r="365" spans="1:17" ht="12.75">
      <c r="A365" s="73">
        <f t="shared" si="11"/>
        <v>358</v>
      </c>
      <c r="B365" s="27" t="s">
        <v>442</v>
      </c>
      <c r="C365" s="9">
        <v>11262</v>
      </c>
      <c r="D365" s="26" t="s">
        <v>583</v>
      </c>
      <c r="E365" s="20">
        <v>35641.8</v>
      </c>
      <c r="F365" s="20">
        <v>35757.6</v>
      </c>
      <c r="G365" s="20">
        <v>33889.8</v>
      </c>
      <c r="H365" s="20">
        <v>25258.2</v>
      </c>
      <c r="I365" s="20">
        <v>24567</v>
      </c>
      <c r="J365" s="20">
        <v>22473</v>
      </c>
      <c r="K365" s="22">
        <v>24638.4</v>
      </c>
      <c r="L365" s="20">
        <v>23652</v>
      </c>
      <c r="M365" s="20">
        <v>29392.2</v>
      </c>
      <c r="N365" s="20">
        <v>28942.2</v>
      </c>
      <c r="O365" s="20">
        <v>33336</v>
      </c>
      <c r="P365" s="20">
        <v>34293.6</v>
      </c>
      <c r="Q365" s="20">
        <f t="shared" si="10"/>
        <v>351841.8</v>
      </c>
    </row>
    <row r="366" spans="1:231" s="44" customFormat="1" ht="12.75">
      <c r="A366" s="73">
        <f t="shared" si="11"/>
        <v>359</v>
      </c>
      <c r="B366" s="9" t="s">
        <v>443</v>
      </c>
      <c r="C366" s="9">
        <v>11261</v>
      </c>
      <c r="D366" s="31" t="s">
        <v>588</v>
      </c>
      <c r="E366" s="20">
        <v>8546.26</v>
      </c>
      <c r="F366" s="20">
        <v>4824</v>
      </c>
      <c r="G366" s="20">
        <v>5755.27</v>
      </c>
      <c r="H366" s="20">
        <v>5852.6</v>
      </c>
      <c r="I366" s="20">
        <v>4319.31</v>
      </c>
      <c r="J366" s="20">
        <v>3986.73</v>
      </c>
      <c r="K366" s="22">
        <v>4213.62</v>
      </c>
      <c r="L366" s="20">
        <v>4784.43</v>
      </c>
      <c r="M366" s="20">
        <v>6468.9</v>
      </c>
      <c r="N366" s="20">
        <v>5688.69</v>
      </c>
      <c r="O366" s="20">
        <v>6590.7</v>
      </c>
      <c r="P366" s="20">
        <v>7992.81</v>
      </c>
      <c r="Q366" s="20">
        <f t="shared" si="10"/>
        <v>69023.32</v>
      </c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</row>
    <row r="367" spans="1:231" s="44" customFormat="1" ht="12.75">
      <c r="A367" s="73">
        <f t="shared" si="11"/>
        <v>360</v>
      </c>
      <c r="B367" s="9" t="s">
        <v>444</v>
      </c>
      <c r="C367" s="9">
        <v>11267</v>
      </c>
      <c r="D367" s="31" t="s">
        <v>588</v>
      </c>
      <c r="E367" s="20">
        <v>2791.88</v>
      </c>
      <c r="F367" s="20">
        <v>2096.4</v>
      </c>
      <c r="G367" s="20">
        <v>1848.79</v>
      </c>
      <c r="H367" s="20">
        <v>1837.29</v>
      </c>
      <c r="I367" s="20">
        <v>1301.43</v>
      </c>
      <c r="J367" s="20">
        <v>1186.02</v>
      </c>
      <c r="K367" s="22">
        <v>1131</v>
      </c>
      <c r="L367" s="20">
        <v>1042.68</v>
      </c>
      <c r="M367" s="20">
        <v>1309.89</v>
      </c>
      <c r="N367" s="20">
        <v>1683.68</v>
      </c>
      <c r="O367" s="20">
        <v>3243.84</v>
      </c>
      <c r="P367" s="20">
        <v>2180.34</v>
      </c>
      <c r="Q367" s="20">
        <f t="shared" si="10"/>
        <v>21653.24</v>
      </c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</row>
    <row r="368" spans="1:17" ht="12.75">
      <c r="A368" s="73">
        <f t="shared" si="11"/>
        <v>361</v>
      </c>
      <c r="B368" s="10" t="s">
        <v>445</v>
      </c>
      <c r="C368" s="10">
        <v>19755</v>
      </c>
      <c r="D368" s="31" t="s">
        <v>588</v>
      </c>
      <c r="E368" s="20">
        <v>19103.94</v>
      </c>
      <c r="F368" s="20">
        <v>18810.9</v>
      </c>
      <c r="G368" s="20">
        <v>14863.06</v>
      </c>
      <c r="H368" s="20">
        <v>16375.79</v>
      </c>
      <c r="I368" s="20">
        <v>12955.92</v>
      </c>
      <c r="J368" s="20">
        <v>13084.94</v>
      </c>
      <c r="K368" s="22">
        <f>8423.33+5802.72</f>
        <v>14226.05</v>
      </c>
      <c r="L368" s="20">
        <v>31218.41</v>
      </c>
      <c r="M368" s="20">
        <f>5152.37+3548.16</f>
        <v>8700.529999999999</v>
      </c>
      <c r="N368" s="20">
        <f>5109.72+3529.68</f>
        <v>8639.4</v>
      </c>
      <c r="O368" s="20">
        <v>19588.8</v>
      </c>
      <c r="P368" s="20">
        <f>13351.8+9217.97</f>
        <v>22569.769999999997</v>
      </c>
      <c r="Q368" s="20">
        <f t="shared" si="10"/>
        <v>200137.50999999998</v>
      </c>
    </row>
    <row r="369" spans="1:17" ht="12.75">
      <c r="A369" s="73">
        <f t="shared" si="11"/>
        <v>362</v>
      </c>
      <c r="B369" s="9" t="s">
        <v>446</v>
      </c>
      <c r="C369" s="9">
        <v>12672</v>
      </c>
      <c r="D369" s="17" t="s">
        <v>585</v>
      </c>
      <c r="E369" s="20">
        <v>6906.13</v>
      </c>
      <c r="F369" s="20">
        <v>6287.85</v>
      </c>
      <c r="G369" s="20">
        <v>4718.56</v>
      </c>
      <c r="H369" s="20">
        <v>4925.68</v>
      </c>
      <c r="I369" s="20">
        <v>3482.79</v>
      </c>
      <c r="J369" s="20">
        <v>3118.44</v>
      </c>
      <c r="K369" s="22">
        <v>3074.25</v>
      </c>
      <c r="L369" s="20">
        <v>3388.66</v>
      </c>
      <c r="M369" s="20">
        <v>4624.96</v>
      </c>
      <c r="N369" s="20">
        <v>4559.71</v>
      </c>
      <c r="O369" s="20">
        <v>5686.34</v>
      </c>
      <c r="P369" s="20">
        <v>7110.46</v>
      </c>
      <c r="Q369" s="20">
        <f t="shared" si="10"/>
        <v>57883.829999999994</v>
      </c>
    </row>
    <row r="370" spans="1:17" ht="12.75">
      <c r="A370" s="73">
        <f t="shared" si="11"/>
        <v>363</v>
      </c>
      <c r="B370" s="9" t="s">
        <v>447</v>
      </c>
      <c r="C370" s="9">
        <v>12671</v>
      </c>
      <c r="D370" s="31" t="s">
        <v>588</v>
      </c>
      <c r="E370" s="20">
        <v>6711.08</v>
      </c>
      <c r="F370" s="55">
        <v>4947.2</v>
      </c>
      <c r="G370" s="20">
        <v>5376.75</v>
      </c>
      <c r="H370" s="20">
        <v>5186.57</v>
      </c>
      <c r="I370" s="20">
        <v>3551.18</v>
      </c>
      <c r="J370" s="20">
        <v>3689.49</v>
      </c>
      <c r="K370" s="22">
        <v>3695.67</v>
      </c>
      <c r="L370" s="20">
        <v>910.89</v>
      </c>
      <c r="M370" s="20">
        <v>879.48</v>
      </c>
      <c r="N370" s="20">
        <v>1498.68</v>
      </c>
      <c r="O370" s="20">
        <v>3263.1</v>
      </c>
      <c r="P370" s="20">
        <v>3848.13</v>
      </c>
      <c r="Q370" s="20">
        <f aca="true" t="shared" si="12" ref="Q370:Q433">E370+F370+G370+H370+I370+J370+K370+L370+M370+N370+O370+P370</f>
        <v>43558.219999999994</v>
      </c>
    </row>
    <row r="371" spans="1:17" ht="12.75">
      <c r="A371" s="73">
        <f t="shared" si="11"/>
        <v>364</v>
      </c>
      <c r="B371" s="9" t="s">
        <v>448</v>
      </c>
      <c r="C371" s="9">
        <v>11271</v>
      </c>
      <c r="D371" s="31" t="s">
        <v>588</v>
      </c>
      <c r="E371" s="20">
        <v>2101.44</v>
      </c>
      <c r="F371" s="20">
        <v>1917.87</v>
      </c>
      <c r="G371" s="20">
        <v>1730.03</v>
      </c>
      <c r="H371" s="20">
        <v>1745.94</v>
      </c>
      <c r="I371" s="20">
        <v>1319.07</v>
      </c>
      <c r="J371" s="20">
        <v>1440.13</v>
      </c>
      <c r="K371" s="22">
        <v>1420.72</v>
      </c>
      <c r="L371" s="20">
        <v>1662.52</v>
      </c>
      <c r="M371" s="20">
        <v>2096.87</v>
      </c>
      <c r="N371" s="20">
        <v>2651.47</v>
      </c>
      <c r="O371" s="20">
        <v>3144.54</v>
      </c>
      <c r="P371" s="20">
        <v>3764</v>
      </c>
      <c r="Q371" s="20">
        <f t="shared" si="12"/>
        <v>24994.600000000002</v>
      </c>
    </row>
    <row r="372" spans="1:17" ht="12.75">
      <c r="A372" s="73">
        <f t="shared" si="11"/>
        <v>365</v>
      </c>
      <c r="B372" s="9" t="s">
        <v>449</v>
      </c>
      <c r="C372" s="9">
        <v>11281</v>
      </c>
      <c r="D372" s="31" t="s">
        <v>588</v>
      </c>
      <c r="E372" s="20">
        <v>2891.34</v>
      </c>
      <c r="F372" s="20">
        <v>1299.67</v>
      </c>
      <c r="G372" s="20">
        <v>2073.14</v>
      </c>
      <c r="H372" s="20">
        <v>2019.39</v>
      </c>
      <c r="I372" s="20">
        <v>1655.66</v>
      </c>
      <c r="J372" s="20">
        <v>1556.08</v>
      </c>
      <c r="K372" s="22">
        <v>642.06</v>
      </c>
      <c r="L372" s="20">
        <v>1774.83</v>
      </c>
      <c r="M372" s="20">
        <v>1871.16</v>
      </c>
      <c r="N372" s="20">
        <v>2660.4</v>
      </c>
      <c r="O372" s="20">
        <v>2843.97</v>
      </c>
      <c r="P372" s="20">
        <v>2960.82</v>
      </c>
      <c r="Q372" s="20">
        <f t="shared" si="12"/>
        <v>24248.52</v>
      </c>
    </row>
    <row r="373" spans="1:17" ht="12.75">
      <c r="A373" s="73">
        <f t="shared" si="11"/>
        <v>366</v>
      </c>
      <c r="B373" s="9" t="s">
        <v>450</v>
      </c>
      <c r="C373" s="9">
        <v>11282</v>
      </c>
      <c r="D373" s="17" t="s">
        <v>585</v>
      </c>
      <c r="E373" s="20">
        <v>1644.5</v>
      </c>
      <c r="F373" s="20">
        <v>1931</v>
      </c>
      <c r="G373" s="20">
        <v>1379.3</v>
      </c>
      <c r="H373" s="20">
        <v>1317.07</v>
      </c>
      <c r="I373" s="20">
        <v>1082.43</v>
      </c>
      <c r="J373" s="20">
        <v>441.3</v>
      </c>
      <c r="K373" s="22">
        <v>728.95</v>
      </c>
      <c r="L373" s="20">
        <v>741.74</v>
      </c>
      <c r="M373" s="20">
        <v>948.57</v>
      </c>
      <c r="N373" s="20">
        <v>696.04</v>
      </c>
      <c r="O373" s="20">
        <v>1152.38</v>
      </c>
      <c r="P373" s="20">
        <v>1073.55</v>
      </c>
      <c r="Q373" s="20">
        <f t="shared" si="12"/>
        <v>13136.830000000002</v>
      </c>
    </row>
    <row r="374" spans="1:17" ht="12.75">
      <c r="A374" s="73">
        <f t="shared" si="11"/>
        <v>367</v>
      </c>
      <c r="B374" s="9" t="s">
        <v>451</v>
      </c>
      <c r="C374" s="9">
        <v>11283</v>
      </c>
      <c r="D374" s="31" t="s">
        <v>588</v>
      </c>
      <c r="E374" s="20">
        <v>4177.26</v>
      </c>
      <c r="F374" s="20">
        <v>3449.79</v>
      </c>
      <c r="G374" s="20">
        <v>3883.22</v>
      </c>
      <c r="H374" s="20">
        <v>2942.77</v>
      </c>
      <c r="I374" s="20">
        <v>2842.55</v>
      </c>
      <c r="J374" s="20">
        <v>2183.89</v>
      </c>
      <c r="K374" s="22">
        <v>2259.24</v>
      </c>
      <c r="L374" s="20">
        <v>2759.31</v>
      </c>
      <c r="M374" s="20">
        <v>2904</v>
      </c>
      <c r="N374" s="20">
        <v>3608.61</v>
      </c>
      <c r="O374" s="20">
        <v>4217.58</v>
      </c>
      <c r="P374" s="20">
        <v>5163.51</v>
      </c>
      <c r="Q374" s="20">
        <f t="shared" si="12"/>
        <v>40391.73</v>
      </c>
    </row>
    <row r="375" spans="1:17" ht="12.75">
      <c r="A375" s="73">
        <f t="shared" si="11"/>
        <v>368</v>
      </c>
      <c r="B375" s="9" t="s">
        <v>452</v>
      </c>
      <c r="C375" s="9">
        <v>11284</v>
      </c>
      <c r="D375" s="17" t="s">
        <v>585</v>
      </c>
      <c r="E375" s="20">
        <v>1477.62</v>
      </c>
      <c r="F375" s="20">
        <v>1251.57</v>
      </c>
      <c r="G375" s="20">
        <v>873.28</v>
      </c>
      <c r="H375" s="20">
        <v>618.46</v>
      </c>
      <c r="I375" s="20">
        <v>431.63</v>
      </c>
      <c r="J375" s="20">
        <v>322.02</v>
      </c>
      <c r="K375" s="22">
        <v>305.8</v>
      </c>
      <c r="L375" s="20">
        <v>359.98</v>
      </c>
      <c r="M375" s="20">
        <v>833.28</v>
      </c>
      <c r="N375" s="20">
        <v>940.36</v>
      </c>
      <c r="O375" s="20">
        <v>954.79</v>
      </c>
      <c r="P375" s="20">
        <v>1731.4</v>
      </c>
      <c r="Q375" s="20">
        <f t="shared" si="12"/>
        <v>10100.19</v>
      </c>
    </row>
    <row r="376" spans="1:17" ht="12.75">
      <c r="A376" s="73">
        <f t="shared" si="11"/>
        <v>369</v>
      </c>
      <c r="B376" s="9" t="s">
        <v>453</v>
      </c>
      <c r="C376" s="9">
        <v>11286</v>
      </c>
      <c r="D376" s="17" t="s">
        <v>585</v>
      </c>
      <c r="E376" s="20">
        <v>2024.42</v>
      </c>
      <c r="F376" s="20">
        <v>2163.51</v>
      </c>
      <c r="G376" s="20">
        <v>1464.33</v>
      </c>
      <c r="H376" s="20">
        <v>782.49</v>
      </c>
      <c r="I376" s="20">
        <v>503.51</v>
      </c>
      <c r="J376" s="20">
        <v>254.88</v>
      </c>
      <c r="K376" s="22">
        <v>256</v>
      </c>
      <c r="L376" s="20">
        <v>475.77</v>
      </c>
      <c r="M376" s="20">
        <v>703.87</v>
      </c>
      <c r="N376" s="20">
        <v>1127.6</v>
      </c>
      <c r="O376" s="20">
        <v>831.7</v>
      </c>
      <c r="P376" s="20">
        <v>2151.38</v>
      </c>
      <c r="Q376" s="20">
        <f t="shared" si="12"/>
        <v>12739.460000000003</v>
      </c>
    </row>
    <row r="377" spans="1:17" ht="12.75">
      <c r="A377" s="73">
        <f t="shared" si="11"/>
        <v>370</v>
      </c>
      <c r="B377" s="9" t="s">
        <v>454</v>
      </c>
      <c r="C377" s="9">
        <v>11272</v>
      </c>
      <c r="D377" s="31" t="s">
        <v>588</v>
      </c>
      <c r="E377" s="20">
        <v>1308.55</v>
      </c>
      <c r="F377" s="20">
        <v>1114.96</v>
      </c>
      <c r="G377" s="20">
        <v>901.18</v>
      </c>
      <c r="H377" s="20">
        <v>596.64</v>
      </c>
      <c r="I377" s="20">
        <v>348.49</v>
      </c>
      <c r="J377" s="20">
        <v>227.59</v>
      </c>
      <c r="K377" s="22">
        <v>75.78</v>
      </c>
      <c r="L377" s="20">
        <v>667.89</v>
      </c>
      <c r="M377" s="20">
        <v>621.3</v>
      </c>
      <c r="N377" s="20">
        <v>62.82</v>
      </c>
      <c r="O377" s="20">
        <v>1677.42</v>
      </c>
      <c r="P377" s="20">
        <v>1374.24</v>
      </c>
      <c r="Q377" s="20">
        <f t="shared" si="12"/>
        <v>8976.86</v>
      </c>
    </row>
    <row r="378" spans="1:17" ht="12.75">
      <c r="A378" s="73">
        <f t="shared" si="11"/>
        <v>371</v>
      </c>
      <c r="B378" s="9" t="s">
        <v>455</v>
      </c>
      <c r="C378" s="9">
        <v>11288</v>
      </c>
      <c r="D378" s="17" t="s">
        <v>585</v>
      </c>
      <c r="E378" s="20">
        <v>1525.79</v>
      </c>
      <c r="F378" s="20">
        <v>1542.34</v>
      </c>
      <c r="G378" s="20">
        <v>1334.12</v>
      </c>
      <c r="H378" s="20">
        <v>677.28</v>
      </c>
      <c r="I378" s="20">
        <v>531.72</v>
      </c>
      <c r="J378" s="20">
        <v>435.61</v>
      </c>
      <c r="K378" s="22">
        <v>446.84</v>
      </c>
      <c r="L378" s="20">
        <v>635.49</v>
      </c>
      <c r="M378" s="20">
        <v>896.5</v>
      </c>
      <c r="N378" s="20">
        <v>0</v>
      </c>
      <c r="O378" s="20">
        <v>669.96</v>
      </c>
      <c r="P378" s="20">
        <v>949.93</v>
      </c>
      <c r="Q378" s="20">
        <f t="shared" si="12"/>
        <v>9645.58</v>
      </c>
    </row>
    <row r="379" spans="1:17" ht="12.75">
      <c r="A379" s="73">
        <f t="shared" si="11"/>
        <v>372</v>
      </c>
      <c r="B379" s="9" t="s">
        <v>456</v>
      </c>
      <c r="C379" s="9">
        <v>11296</v>
      </c>
      <c r="D379" s="17" t="s">
        <v>585</v>
      </c>
      <c r="E379" s="20">
        <v>1289.08</v>
      </c>
      <c r="F379" s="20">
        <v>981.19</v>
      </c>
      <c r="G379" s="20">
        <v>803.73</v>
      </c>
      <c r="H379" s="20">
        <v>614.55</v>
      </c>
      <c r="I379" s="20">
        <v>474.25</v>
      </c>
      <c r="J379" s="20">
        <v>510.91</v>
      </c>
      <c r="K379" s="22">
        <v>424.08</v>
      </c>
      <c r="L379" s="20">
        <v>380.75</v>
      </c>
      <c r="M379" s="20">
        <v>733.93</v>
      </c>
      <c r="N379" s="20">
        <v>1086.31</v>
      </c>
      <c r="O379" s="20">
        <v>904.06</v>
      </c>
      <c r="P379" s="20">
        <v>1368.07</v>
      </c>
      <c r="Q379" s="20">
        <f t="shared" si="12"/>
        <v>9570.91</v>
      </c>
    </row>
    <row r="380" spans="1:17" ht="12.75">
      <c r="A380" s="73">
        <f t="shared" si="11"/>
        <v>373</v>
      </c>
      <c r="B380" s="9" t="s">
        <v>457</v>
      </c>
      <c r="C380" s="9">
        <v>11298</v>
      </c>
      <c r="D380" s="17" t="s">
        <v>585</v>
      </c>
      <c r="E380" s="20">
        <v>1224.01</v>
      </c>
      <c r="F380" s="20">
        <v>1065.8</v>
      </c>
      <c r="G380" s="20">
        <v>714.65</v>
      </c>
      <c r="H380" s="20">
        <v>630.11</v>
      </c>
      <c r="I380" s="20">
        <v>589.9</v>
      </c>
      <c r="J380" s="20">
        <v>594.66</v>
      </c>
      <c r="K380" s="22">
        <v>465.42</v>
      </c>
      <c r="L380" s="20">
        <v>609.13</v>
      </c>
      <c r="M380" s="20">
        <v>784.06</v>
      </c>
      <c r="N380" s="20">
        <v>0</v>
      </c>
      <c r="O380" s="20">
        <v>716.06</v>
      </c>
      <c r="P380" s="20">
        <v>1113.48</v>
      </c>
      <c r="Q380" s="20">
        <f t="shared" si="12"/>
        <v>8507.279999999999</v>
      </c>
    </row>
    <row r="381" spans="1:17" ht="12.75">
      <c r="A381" s="73">
        <f t="shared" si="11"/>
        <v>374</v>
      </c>
      <c r="B381" s="9" t="s">
        <v>458</v>
      </c>
      <c r="C381" s="9">
        <v>11300</v>
      </c>
      <c r="D381" s="17" t="s">
        <v>585</v>
      </c>
      <c r="E381" s="20">
        <v>1925.11</v>
      </c>
      <c r="F381" s="20">
        <v>1839.63</v>
      </c>
      <c r="G381" s="20">
        <v>1346.61</v>
      </c>
      <c r="H381" s="20">
        <v>1090.01</v>
      </c>
      <c r="I381" s="20">
        <v>890.68</v>
      </c>
      <c r="J381" s="20">
        <v>794.42</v>
      </c>
      <c r="K381" s="22">
        <v>609.18</v>
      </c>
      <c r="L381" s="20">
        <v>752.26</v>
      </c>
      <c r="M381" s="20">
        <v>752.26</v>
      </c>
      <c r="N381" s="20">
        <v>350.54</v>
      </c>
      <c r="O381" s="20">
        <v>1142.56</v>
      </c>
      <c r="P381" s="20">
        <v>1928.06</v>
      </c>
      <c r="Q381" s="20">
        <f t="shared" si="12"/>
        <v>13421.32</v>
      </c>
    </row>
    <row r="382" spans="1:17" ht="12.75">
      <c r="A382" s="73">
        <f t="shared" si="11"/>
        <v>375</v>
      </c>
      <c r="B382" s="9" t="s">
        <v>459</v>
      </c>
      <c r="C382" s="11">
        <v>32302</v>
      </c>
      <c r="D382" s="17" t="s">
        <v>591</v>
      </c>
      <c r="E382" s="22"/>
      <c r="F382" s="22"/>
      <c r="G382" s="20"/>
      <c r="H382" s="20"/>
      <c r="I382" s="20"/>
      <c r="J382" s="20"/>
      <c r="K382" s="22"/>
      <c r="L382" s="20"/>
      <c r="M382" s="20"/>
      <c r="N382" s="20"/>
      <c r="O382" s="20"/>
      <c r="P382" s="20"/>
      <c r="Q382" s="20">
        <f t="shared" si="12"/>
        <v>0</v>
      </c>
    </row>
    <row r="383" spans="1:17" ht="12.75">
      <c r="A383" s="73">
        <f t="shared" si="11"/>
        <v>376</v>
      </c>
      <c r="B383" s="9" t="s">
        <v>460</v>
      </c>
      <c r="C383" s="9">
        <v>11301</v>
      </c>
      <c r="D383" s="31" t="s">
        <v>588</v>
      </c>
      <c r="E383" s="20">
        <v>2369.97</v>
      </c>
      <c r="F383" s="20">
        <v>756.87</v>
      </c>
      <c r="G383" s="20">
        <v>1740.91</v>
      </c>
      <c r="H383" s="20">
        <v>1867.22</v>
      </c>
      <c r="I383" s="20">
        <v>1901.89</v>
      </c>
      <c r="J383" s="20">
        <v>1972.22</v>
      </c>
      <c r="K383" s="22">
        <v>1738.91</v>
      </c>
      <c r="L383" s="20">
        <v>1920.89</v>
      </c>
      <c r="M383" s="20">
        <v>2448.3</v>
      </c>
      <c r="N383" s="20">
        <v>2252.27</v>
      </c>
      <c r="O383" s="20">
        <v>2383.04</v>
      </c>
      <c r="P383" s="20">
        <v>2398.75</v>
      </c>
      <c r="Q383" s="20">
        <f t="shared" si="12"/>
        <v>23751.24</v>
      </c>
    </row>
    <row r="384" spans="1:17" ht="12.75">
      <c r="A384" s="73">
        <f t="shared" si="11"/>
        <v>377</v>
      </c>
      <c r="B384" s="9" t="s">
        <v>461</v>
      </c>
      <c r="C384" s="9">
        <v>11302</v>
      </c>
      <c r="D384" s="17" t="s">
        <v>585</v>
      </c>
      <c r="E384" s="20">
        <v>1571.61</v>
      </c>
      <c r="F384" s="20">
        <v>1348.04</v>
      </c>
      <c r="G384" s="20">
        <v>892.46</v>
      </c>
      <c r="H384" s="20">
        <v>727.43</v>
      </c>
      <c r="I384" s="20">
        <v>506</v>
      </c>
      <c r="J384" s="20">
        <v>422.39</v>
      </c>
      <c r="K384" s="22">
        <v>465.27</v>
      </c>
      <c r="L384" s="20">
        <v>486.82</v>
      </c>
      <c r="M384" s="20">
        <v>998.87</v>
      </c>
      <c r="N384" s="20">
        <v>1095.98</v>
      </c>
      <c r="O384" s="20">
        <v>1096.46</v>
      </c>
      <c r="P384" s="20">
        <v>1507.93</v>
      </c>
      <c r="Q384" s="20">
        <f t="shared" si="12"/>
        <v>11119.260000000002</v>
      </c>
    </row>
    <row r="385" spans="1:17" ht="12.75">
      <c r="A385" s="73">
        <f t="shared" si="11"/>
        <v>378</v>
      </c>
      <c r="B385" s="9" t="s">
        <v>462</v>
      </c>
      <c r="C385" s="9">
        <v>11303</v>
      </c>
      <c r="D385" s="17" t="s">
        <v>585</v>
      </c>
      <c r="E385" s="20">
        <v>2002.61</v>
      </c>
      <c r="F385" s="20">
        <v>1827.42</v>
      </c>
      <c r="G385" s="20">
        <v>1087.75</v>
      </c>
      <c r="H385" s="20">
        <v>756.2</v>
      </c>
      <c r="I385" s="20">
        <v>649.72</v>
      </c>
      <c r="J385" s="20">
        <v>712.8</v>
      </c>
      <c r="K385" s="22">
        <v>420.81</v>
      </c>
      <c r="L385" s="20">
        <v>459.91</v>
      </c>
      <c r="M385" s="20">
        <v>899.17</v>
      </c>
      <c r="N385" s="20">
        <v>1196.99</v>
      </c>
      <c r="O385" s="20">
        <v>965.01</v>
      </c>
      <c r="P385" s="20">
        <v>1854.42</v>
      </c>
      <c r="Q385" s="20">
        <f t="shared" si="12"/>
        <v>12832.81</v>
      </c>
    </row>
    <row r="386" spans="1:231" s="44" customFormat="1" ht="12.75">
      <c r="A386" s="73">
        <f t="shared" si="11"/>
        <v>379</v>
      </c>
      <c r="B386" s="9" t="s">
        <v>463</v>
      </c>
      <c r="C386" s="9">
        <v>11342</v>
      </c>
      <c r="D386" s="17" t="s">
        <v>591</v>
      </c>
      <c r="E386" s="22"/>
      <c r="F386" s="22"/>
      <c r="G386" s="20"/>
      <c r="H386" s="20"/>
      <c r="I386" s="20"/>
      <c r="J386" s="20"/>
      <c r="K386" s="22"/>
      <c r="L386" s="20"/>
      <c r="M386" s="20"/>
      <c r="N386" s="20"/>
      <c r="O386" s="20"/>
      <c r="P386" s="20"/>
      <c r="Q386" s="20">
        <f t="shared" si="12"/>
        <v>0</v>
      </c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</row>
    <row r="387" spans="1:17" ht="12.75">
      <c r="A387" s="73">
        <f t="shared" si="11"/>
        <v>380</v>
      </c>
      <c r="B387" s="9" t="s">
        <v>464</v>
      </c>
      <c r="C387" s="9">
        <v>11344</v>
      </c>
      <c r="D387" s="17" t="s">
        <v>585</v>
      </c>
      <c r="E387" s="20">
        <v>1771.23</v>
      </c>
      <c r="F387" s="20">
        <v>1520.17</v>
      </c>
      <c r="G387" s="20">
        <v>1277.92</v>
      </c>
      <c r="H387" s="20">
        <v>1143.08</v>
      </c>
      <c r="I387" s="20">
        <v>980.57</v>
      </c>
      <c r="J387" s="20">
        <v>890.32</v>
      </c>
      <c r="K387" s="22">
        <v>824.14</v>
      </c>
      <c r="L387" s="20">
        <v>943.05</v>
      </c>
      <c r="M387" s="20">
        <v>1183.77</v>
      </c>
      <c r="N387" s="20">
        <v>53.25</v>
      </c>
      <c r="O387" s="20">
        <v>1271.34</v>
      </c>
      <c r="P387" s="20">
        <v>1768.16</v>
      </c>
      <c r="Q387" s="20">
        <f t="shared" si="12"/>
        <v>13626.999999999998</v>
      </c>
    </row>
    <row r="388" spans="1:17" ht="12.75">
      <c r="A388" s="73">
        <f t="shared" si="11"/>
        <v>381</v>
      </c>
      <c r="B388" s="9" t="s">
        <v>465</v>
      </c>
      <c r="C388" s="9">
        <v>11346</v>
      </c>
      <c r="D388" s="31" t="s">
        <v>588</v>
      </c>
      <c r="E388" s="20">
        <v>2547.36</v>
      </c>
      <c r="F388" s="20">
        <v>679.79</v>
      </c>
      <c r="G388" s="20">
        <v>2044.04</v>
      </c>
      <c r="H388" s="20">
        <v>2011.93</v>
      </c>
      <c r="I388" s="20">
        <v>1835.61</v>
      </c>
      <c r="J388" s="20">
        <v>1644.07</v>
      </c>
      <c r="K388" s="22">
        <v>2446.87</v>
      </c>
      <c r="L388" s="20">
        <v>1888.21</v>
      </c>
      <c r="M388" s="20">
        <v>2549.56</v>
      </c>
      <c r="N388" s="20">
        <v>2378.08</v>
      </c>
      <c r="O388" s="20">
        <v>2531.56</v>
      </c>
      <c r="P388" s="20">
        <v>2362.29</v>
      </c>
      <c r="Q388" s="20">
        <f t="shared" si="12"/>
        <v>24919.370000000006</v>
      </c>
    </row>
    <row r="389" spans="1:17" ht="12.75">
      <c r="A389" s="73">
        <f t="shared" si="11"/>
        <v>382</v>
      </c>
      <c r="B389" s="9" t="s">
        <v>466</v>
      </c>
      <c r="C389" s="9">
        <v>11348</v>
      </c>
      <c r="D389" s="17" t="s">
        <v>585</v>
      </c>
      <c r="E389" s="20">
        <v>1382.15</v>
      </c>
      <c r="F389" s="20">
        <v>1784.94</v>
      </c>
      <c r="G389" s="20">
        <v>1055</v>
      </c>
      <c r="H389" s="20">
        <v>672.95</v>
      </c>
      <c r="I389" s="20">
        <v>0</v>
      </c>
      <c r="J389" s="20">
        <v>0</v>
      </c>
      <c r="K389" s="22">
        <v>2969.4</v>
      </c>
      <c r="L389" s="20">
        <v>632.17</v>
      </c>
      <c r="M389" s="20">
        <v>1122.87</v>
      </c>
      <c r="N389" s="20">
        <v>463.61</v>
      </c>
      <c r="O389" s="20">
        <v>980.32</v>
      </c>
      <c r="P389" s="20">
        <v>1413.14</v>
      </c>
      <c r="Q389" s="20">
        <f t="shared" si="12"/>
        <v>12476.55</v>
      </c>
    </row>
    <row r="390" spans="1:17" ht="12.75">
      <c r="A390" s="73">
        <f t="shared" si="11"/>
        <v>383</v>
      </c>
      <c r="B390" s="9" t="s">
        <v>467</v>
      </c>
      <c r="C390" s="9">
        <v>11350</v>
      </c>
      <c r="D390" s="17" t="s">
        <v>585</v>
      </c>
      <c r="E390" s="20">
        <v>6609.16</v>
      </c>
      <c r="F390" s="20">
        <v>2590.85</v>
      </c>
      <c r="G390" s="20">
        <v>1350</v>
      </c>
      <c r="H390" s="20">
        <v>1285.57</v>
      </c>
      <c r="I390" s="20">
        <v>900.24</v>
      </c>
      <c r="J390" s="20">
        <v>763.84</v>
      </c>
      <c r="K390" s="22">
        <v>802.4</v>
      </c>
      <c r="L390" s="20">
        <v>1178.6</v>
      </c>
      <c r="M390" s="20">
        <v>2566.65</v>
      </c>
      <c r="N390" s="20">
        <v>0</v>
      </c>
      <c r="O390" s="20">
        <v>1015.29</v>
      </c>
      <c r="P390" s="20">
        <v>1652.95</v>
      </c>
      <c r="Q390" s="20">
        <f t="shared" si="12"/>
        <v>20715.550000000003</v>
      </c>
    </row>
    <row r="391" spans="1:17" ht="12.75">
      <c r="A391" s="73">
        <f t="shared" si="11"/>
        <v>384</v>
      </c>
      <c r="B391" s="9" t="s">
        <v>468</v>
      </c>
      <c r="C391" s="9">
        <v>11352</v>
      </c>
      <c r="D391" s="17" t="s">
        <v>585</v>
      </c>
      <c r="E391" s="20">
        <v>2613.27</v>
      </c>
      <c r="F391" s="20">
        <v>1878.43</v>
      </c>
      <c r="G391" s="20">
        <v>1350.36</v>
      </c>
      <c r="H391" s="20">
        <v>1279.2</v>
      </c>
      <c r="I391" s="20">
        <v>1036.39</v>
      </c>
      <c r="J391" s="20">
        <v>1147.14</v>
      </c>
      <c r="K391" s="22">
        <v>1310.79</v>
      </c>
      <c r="L391" s="20">
        <v>1397.85</v>
      </c>
      <c r="M391" s="20">
        <v>1538.14</v>
      </c>
      <c r="N391" s="20">
        <v>43.38</v>
      </c>
      <c r="O391" s="20">
        <v>1213.56</v>
      </c>
      <c r="P391" s="20">
        <v>1710.43</v>
      </c>
      <c r="Q391" s="20">
        <f t="shared" si="12"/>
        <v>16518.939999999995</v>
      </c>
    </row>
    <row r="392" spans="1:231" s="44" customFormat="1" ht="12.75">
      <c r="A392" s="73">
        <f t="shared" si="11"/>
        <v>385</v>
      </c>
      <c r="B392" s="9" t="s">
        <v>469</v>
      </c>
      <c r="C392" s="9">
        <v>11354</v>
      </c>
      <c r="D392" s="17" t="s">
        <v>585</v>
      </c>
      <c r="E392" s="20">
        <v>818.38</v>
      </c>
      <c r="F392" s="20">
        <v>614.92</v>
      </c>
      <c r="G392" s="20">
        <v>486.55</v>
      </c>
      <c r="H392" s="20">
        <v>462.04</v>
      </c>
      <c r="I392" s="20">
        <v>483.99</v>
      </c>
      <c r="J392" s="20">
        <v>434.12</v>
      </c>
      <c r="K392" s="22">
        <v>378.31</v>
      </c>
      <c r="L392" s="20">
        <v>337.17</v>
      </c>
      <c r="M392" s="20">
        <v>541.13</v>
      </c>
      <c r="N392" s="20">
        <v>412.4</v>
      </c>
      <c r="O392" s="20">
        <v>718.68</v>
      </c>
      <c r="P392" s="20">
        <v>461.37</v>
      </c>
      <c r="Q392" s="20">
        <f t="shared" si="12"/>
        <v>6149.0599999999995</v>
      </c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</row>
    <row r="393" spans="1:231" s="44" customFormat="1" ht="12.75">
      <c r="A393" s="73">
        <f t="shared" si="11"/>
        <v>386</v>
      </c>
      <c r="B393" s="9" t="s">
        <v>470</v>
      </c>
      <c r="C393" s="9">
        <v>11356</v>
      </c>
      <c r="D393" s="17" t="s">
        <v>585</v>
      </c>
      <c r="E393" s="20">
        <v>1813.22</v>
      </c>
      <c r="F393" s="20">
        <v>1494.17</v>
      </c>
      <c r="G393" s="20">
        <v>922.37</v>
      </c>
      <c r="H393" s="20">
        <v>813.32</v>
      </c>
      <c r="I393" s="20">
        <v>696.03</v>
      </c>
      <c r="J393" s="20">
        <v>830.79</v>
      </c>
      <c r="K393" s="22">
        <v>607.82</v>
      </c>
      <c r="L393" s="20">
        <v>674.01</v>
      </c>
      <c r="M393" s="20">
        <v>587.5</v>
      </c>
      <c r="N393" s="20">
        <v>1302.51</v>
      </c>
      <c r="O393" s="20">
        <v>775.23</v>
      </c>
      <c r="P393" s="20">
        <v>260.91</v>
      </c>
      <c r="Q393" s="20">
        <f t="shared" si="12"/>
        <v>10777.88</v>
      </c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</row>
    <row r="394" spans="1:17" ht="12.75">
      <c r="A394" s="73">
        <f t="shared" si="11"/>
        <v>387</v>
      </c>
      <c r="B394" s="9" t="s">
        <v>471</v>
      </c>
      <c r="C394" s="9">
        <v>11358</v>
      </c>
      <c r="D394" s="31" t="s">
        <v>588</v>
      </c>
      <c r="E394" s="20">
        <v>914.65</v>
      </c>
      <c r="F394" s="20">
        <v>736.27</v>
      </c>
      <c r="G394" s="20">
        <v>746.64</v>
      </c>
      <c r="H394" s="20">
        <v>793.74</v>
      </c>
      <c r="I394" s="20">
        <v>784.86</v>
      </c>
      <c r="J394" s="20">
        <v>930.99</v>
      </c>
      <c r="K394" s="22">
        <v>819.82</v>
      </c>
      <c r="L394" s="20">
        <v>927.78</v>
      </c>
      <c r="M394" s="20">
        <v>1017.94</v>
      </c>
      <c r="N394" s="20">
        <v>874.43</v>
      </c>
      <c r="O394" s="20">
        <v>941.25</v>
      </c>
      <c r="P394" s="20">
        <v>761.56</v>
      </c>
      <c r="Q394" s="20">
        <f t="shared" si="12"/>
        <v>10249.93</v>
      </c>
    </row>
    <row r="395" spans="1:231" s="44" customFormat="1" ht="12.75">
      <c r="A395" s="73">
        <f t="shared" si="11"/>
        <v>388</v>
      </c>
      <c r="B395" s="9" t="s">
        <v>472</v>
      </c>
      <c r="C395" s="9">
        <v>11430</v>
      </c>
      <c r="D395" s="17" t="s">
        <v>585</v>
      </c>
      <c r="E395" s="20">
        <v>2000.26</v>
      </c>
      <c r="F395" s="20">
        <v>1712.26</v>
      </c>
      <c r="G395" s="20">
        <v>832.85</v>
      </c>
      <c r="H395" s="20">
        <v>850.61</v>
      </c>
      <c r="I395" s="20">
        <v>602.33</v>
      </c>
      <c r="J395" s="20">
        <v>606.38</v>
      </c>
      <c r="K395" s="22">
        <v>454.14</v>
      </c>
      <c r="L395" s="20">
        <v>573.68</v>
      </c>
      <c r="M395" s="20">
        <v>1023.19</v>
      </c>
      <c r="N395" s="20">
        <v>1214.21</v>
      </c>
      <c r="O395" s="20">
        <v>1151.8</v>
      </c>
      <c r="P395" s="20">
        <v>860</v>
      </c>
      <c r="Q395" s="20">
        <f t="shared" si="12"/>
        <v>11881.71</v>
      </c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</row>
    <row r="396" spans="1:231" s="44" customFormat="1" ht="12.75">
      <c r="A396" s="73">
        <f t="shared" si="11"/>
        <v>389</v>
      </c>
      <c r="B396" s="9" t="s">
        <v>473</v>
      </c>
      <c r="C396" s="9">
        <v>11434</v>
      </c>
      <c r="D396" s="17" t="s">
        <v>585</v>
      </c>
      <c r="E396" s="20">
        <v>3127.96</v>
      </c>
      <c r="F396" s="20">
        <v>2054.6</v>
      </c>
      <c r="G396" s="20">
        <v>1326.08</v>
      </c>
      <c r="H396" s="20">
        <v>1007.39</v>
      </c>
      <c r="I396" s="20">
        <v>747.67</v>
      </c>
      <c r="J396" s="20">
        <v>767.21</v>
      </c>
      <c r="K396" s="22">
        <v>632.37</v>
      </c>
      <c r="L396" s="20">
        <v>746.22</v>
      </c>
      <c r="M396" s="20">
        <v>1464.62</v>
      </c>
      <c r="N396" s="20">
        <v>1939.21</v>
      </c>
      <c r="O396" s="20">
        <v>2449.88</v>
      </c>
      <c r="P396" s="20">
        <v>2141.74</v>
      </c>
      <c r="Q396" s="20">
        <f t="shared" si="12"/>
        <v>18404.949999999997</v>
      </c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</row>
    <row r="397" spans="1:231" s="44" customFormat="1" ht="12.75">
      <c r="A397" s="73">
        <f aca="true" t="shared" si="13" ref="A397:A460">A396+1</f>
        <v>390</v>
      </c>
      <c r="B397" s="9" t="s">
        <v>474</v>
      </c>
      <c r="C397" s="9">
        <v>11436</v>
      </c>
      <c r="D397" s="17" t="s">
        <v>585</v>
      </c>
      <c r="E397" s="20">
        <v>2444.2</v>
      </c>
      <c r="F397" s="20">
        <v>2188.02</v>
      </c>
      <c r="G397" s="20">
        <v>1483.16</v>
      </c>
      <c r="H397" s="20">
        <v>1147.28</v>
      </c>
      <c r="I397" s="20">
        <v>901.27</v>
      </c>
      <c r="J397" s="20">
        <v>1178.61</v>
      </c>
      <c r="K397" s="22">
        <v>1069.57</v>
      </c>
      <c r="L397" s="20">
        <v>1034.27</v>
      </c>
      <c r="M397" s="20">
        <v>1413.79</v>
      </c>
      <c r="N397" s="20">
        <v>1489.7</v>
      </c>
      <c r="O397" s="20">
        <v>1421.97</v>
      </c>
      <c r="P397" s="20">
        <v>1236.87</v>
      </c>
      <c r="Q397" s="20">
        <f t="shared" si="12"/>
        <v>17008.71</v>
      </c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</row>
    <row r="398" spans="1:231" s="44" customFormat="1" ht="12.75">
      <c r="A398" s="73">
        <f t="shared" si="13"/>
        <v>391</v>
      </c>
      <c r="B398" s="9" t="s">
        <v>475</v>
      </c>
      <c r="C398" s="9">
        <v>11438</v>
      </c>
      <c r="D398" s="17" t="s">
        <v>585</v>
      </c>
      <c r="E398" s="20">
        <v>2292.74</v>
      </c>
      <c r="F398" s="20">
        <v>2044.52</v>
      </c>
      <c r="G398" s="20">
        <v>1638.31</v>
      </c>
      <c r="H398" s="20">
        <v>1376.95</v>
      </c>
      <c r="I398" s="20">
        <v>1143.3</v>
      </c>
      <c r="J398" s="20">
        <v>1498.78</v>
      </c>
      <c r="K398" s="22">
        <v>1192.91</v>
      </c>
      <c r="L398" s="20">
        <v>1308.22</v>
      </c>
      <c r="M398" s="20">
        <v>1544.66</v>
      </c>
      <c r="N398" s="20">
        <v>1483.28</v>
      </c>
      <c r="O398" s="20">
        <v>1552.84</v>
      </c>
      <c r="P398" s="20">
        <v>1915.85</v>
      </c>
      <c r="Q398" s="20">
        <f t="shared" si="12"/>
        <v>18992.359999999997</v>
      </c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</row>
    <row r="399" spans="1:231" s="44" customFormat="1" ht="12.75">
      <c r="A399" s="73">
        <f t="shared" si="13"/>
        <v>392</v>
      </c>
      <c r="B399" s="9" t="s">
        <v>476</v>
      </c>
      <c r="C399" s="9">
        <v>11440</v>
      </c>
      <c r="D399" s="31" t="s">
        <v>588</v>
      </c>
      <c r="E399" s="20">
        <v>2674.8</v>
      </c>
      <c r="F399" s="20">
        <v>1565.86</v>
      </c>
      <c r="G399" s="20">
        <v>2034.87</v>
      </c>
      <c r="H399" s="20">
        <v>2087.51</v>
      </c>
      <c r="I399" s="20">
        <v>2326.99</v>
      </c>
      <c r="J399" s="20">
        <v>2604.26</v>
      </c>
      <c r="K399" s="22">
        <v>2527.76</v>
      </c>
      <c r="L399" s="20">
        <v>3142.81</v>
      </c>
      <c r="M399" s="20">
        <v>4002.71</v>
      </c>
      <c r="N399" s="20">
        <v>3091.17</v>
      </c>
      <c r="O399" s="20">
        <v>2830.36</v>
      </c>
      <c r="P399" s="20">
        <v>2439.99</v>
      </c>
      <c r="Q399" s="20">
        <f t="shared" si="12"/>
        <v>31329.089999999997</v>
      </c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</row>
    <row r="400" spans="1:17" ht="12.75">
      <c r="A400" s="73">
        <f t="shared" si="13"/>
        <v>393</v>
      </c>
      <c r="B400" s="9" t="s">
        <v>477</v>
      </c>
      <c r="C400" s="9">
        <v>11442</v>
      </c>
      <c r="D400" s="17" t="s">
        <v>585</v>
      </c>
      <c r="E400" s="20">
        <v>1623.33</v>
      </c>
      <c r="F400" s="20">
        <v>3044.47</v>
      </c>
      <c r="G400" s="20">
        <v>3369.76</v>
      </c>
      <c r="H400" s="20">
        <v>477.95</v>
      </c>
      <c r="I400" s="20">
        <v>545.58</v>
      </c>
      <c r="J400" s="20">
        <v>428.37</v>
      </c>
      <c r="K400" s="22">
        <v>371.84</v>
      </c>
      <c r="L400" s="20">
        <v>594.53</v>
      </c>
      <c r="M400" s="20">
        <v>798.74</v>
      </c>
      <c r="N400" s="20">
        <v>361.24</v>
      </c>
      <c r="O400" s="20">
        <v>742.9</v>
      </c>
      <c r="P400" s="20">
        <v>1101.12</v>
      </c>
      <c r="Q400" s="20">
        <f t="shared" si="12"/>
        <v>13459.830000000002</v>
      </c>
    </row>
    <row r="401" spans="1:231" s="44" customFormat="1" ht="12.75">
      <c r="A401" s="73">
        <f t="shared" si="13"/>
        <v>394</v>
      </c>
      <c r="B401" s="9" t="s">
        <v>478</v>
      </c>
      <c r="C401" s="9">
        <v>11444</v>
      </c>
      <c r="D401" s="17" t="s">
        <v>709</v>
      </c>
      <c r="E401" s="20">
        <v>2237.4</v>
      </c>
      <c r="F401" s="20">
        <v>1789.92</v>
      </c>
      <c r="G401" s="20">
        <v>1566.18</v>
      </c>
      <c r="H401" s="20">
        <v>1118.7</v>
      </c>
      <c r="I401" s="20">
        <v>671.22</v>
      </c>
      <c r="J401" s="20">
        <v>447.48</v>
      </c>
      <c r="K401" s="36">
        <f>ROUND(0.04*143.25,0)*3.53*33</f>
        <v>698.9399999999999</v>
      </c>
      <c r="L401" s="20">
        <f>301.74+418.9</f>
        <v>720.64</v>
      </c>
      <c r="M401" s="20">
        <v>978.63</v>
      </c>
      <c r="N401" s="20">
        <v>910.93</v>
      </c>
      <c r="O401" s="20">
        <v>1012.77</v>
      </c>
      <c r="P401" s="20">
        <v>1012.77</v>
      </c>
      <c r="Q401" s="20">
        <f t="shared" si="12"/>
        <v>13165.58</v>
      </c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</row>
    <row r="402" spans="1:17" ht="12.75">
      <c r="A402" s="73">
        <f t="shared" si="13"/>
        <v>395</v>
      </c>
      <c r="B402" s="9" t="s">
        <v>479</v>
      </c>
      <c r="C402" s="9">
        <v>11446</v>
      </c>
      <c r="D402" s="17" t="s">
        <v>585</v>
      </c>
      <c r="E402" s="20">
        <v>2479.79</v>
      </c>
      <c r="F402" s="20">
        <v>2130.9</v>
      </c>
      <c r="G402" s="20">
        <v>1616.21</v>
      </c>
      <c r="H402" s="20">
        <v>1194.44</v>
      </c>
      <c r="I402" s="20">
        <v>858.71</v>
      </c>
      <c r="J402" s="20">
        <v>1150.48</v>
      </c>
      <c r="K402" s="22">
        <v>939.88</v>
      </c>
      <c r="L402" s="20">
        <v>958.72</v>
      </c>
      <c r="M402" s="20">
        <v>1928.61</v>
      </c>
      <c r="N402" s="20">
        <v>925.81</v>
      </c>
      <c r="O402" s="20">
        <v>1377.89</v>
      </c>
      <c r="P402" s="20">
        <v>1846.16</v>
      </c>
      <c r="Q402" s="20">
        <f t="shared" si="12"/>
        <v>17407.6</v>
      </c>
    </row>
    <row r="403" spans="1:231" s="44" customFormat="1" ht="12.75">
      <c r="A403" s="73">
        <f t="shared" si="13"/>
        <v>396</v>
      </c>
      <c r="B403" s="9" t="s">
        <v>480</v>
      </c>
      <c r="C403" s="9">
        <v>11448</v>
      </c>
      <c r="D403" s="17" t="s">
        <v>585</v>
      </c>
      <c r="E403" s="20">
        <v>2135.88</v>
      </c>
      <c r="F403" s="20">
        <v>1805.18</v>
      </c>
      <c r="G403" s="20">
        <v>1243.68</v>
      </c>
      <c r="H403" s="20">
        <v>1010.88</v>
      </c>
      <c r="I403" s="20">
        <v>1110.48</v>
      </c>
      <c r="J403" s="20">
        <v>948.51</v>
      </c>
      <c r="K403" s="22">
        <v>613.11</v>
      </c>
      <c r="L403" s="20">
        <v>745.49</v>
      </c>
      <c r="M403" s="20">
        <v>2849.5</v>
      </c>
      <c r="N403" s="20">
        <v>2259.95</v>
      </c>
      <c r="O403" s="20">
        <v>3995.42</v>
      </c>
      <c r="P403" s="20">
        <v>420.18</v>
      </c>
      <c r="Q403" s="20">
        <f t="shared" si="12"/>
        <v>19138.260000000002</v>
      </c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</row>
    <row r="404" spans="1:17" ht="12.75">
      <c r="A404" s="73">
        <f t="shared" si="13"/>
        <v>397</v>
      </c>
      <c r="B404" s="9" t="s">
        <v>481</v>
      </c>
      <c r="C404" s="9">
        <v>11450</v>
      </c>
      <c r="D404" s="31" t="s">
        <v>588</v>
      </c>
      <c r="E404" s="20">
        <v>48626.2</v>
      </c>
      <c r="F404" s="20">
        <v>50152.1</v>
      </c>
      <c r="G404" s="20">
        <v>2501.3</v>
      </c>
      <c r="H404" s="20">
        <v>2422.02</v>
      </c>
      <c r="I404" s="20">
        <v>1019.4</v>
      </c>
      <c r="J404" s="20">
        <v>902.2</v>
      </c>
      <c r="K404" s="37">
        <v>96525.7</v>
      </c>
      <c r="L404" s="20">
        <v>56718.97</v>
      </c>
      <c r="M404" s="20">
        <v>17300.92</v>
      </c>
      <c r="N404" s="20">
        <v>21695.74</v>
      </c>
      <c r="O404" s="20">
        <v>29274.03</v>
      </c>
      <c r="P404" s="20">
        <v>27816.23</v>
      </c>
      <c r="Q404" s="20">
        <f t="shared" si="12"/>
        <v>354954.80999999994</v>
      </c>
    </row>
    <row r="405" spans="1:17" ht="12.75">
      <c r="A405" s="73">
        <f t="shared" si="13"/>
        <v>398</v>
      </c>
      <c r="B405" s="47" t="s">
        <v>610</v>
      </c>
      <c r="C405" s="10"/>
      <c r="D405" s="45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>
        <f t="shared" si="12"/>
        <v>0</v>
      </c>
    </row>
    <row r="406" spans="1:17" ht="12.75">
      <c r="A406" s="73">
        <f t="shared" si="13"/>
        <v>399</v>
      </c>
      <c r="B406" s="9" t="s">
        <v>482</v>
      </c>
      <c r="C406" s="9">
        <v>23716</v>
      </c>
      <c r="D406" s="17">
        <v>1</v>
      </c>
      <c r="E406" s="21">
        <v>67.8</v>
      </c>
      <c r="F406" s="20">
        <v>54.24</v>
      </c>
      <c r="G406" s="20">
        <v>47.46</v>
      </c>
      <c r="H406" s="20">
        <v>33.9</v>
      </c>
      <c r="I406" s="20">
        <v>20.34</v>
      </c>
      <c r="J406" s="20">
        <v>13.56</v>
      </c>
      <c r="K406" s="22">
        <f>ROUND(0.04*143.25,0)*3.53</f>
        <v>21.18</v>
      </c>
      <c r="L406" s="22">
        <f>ROUND(0.04*235.08,0)*3.53</f>
        <v>31.77</v>
      </c>
      <c r="M406" s="22">
        <f>ROUND(0.04*314.17,0)*3.53</f>
        <v>45.89</v>
      </c>
      <c r="N406" s="22">
        <f>ROUND(0.04*430.83,0)*3.53</f>
        <v>60.01</v>
      </c>
      <c r="O406" s="22">
        <f>ROUND(0.04*492.08,0)*3.53</f>
        <v>70.6</v>
      </c>
      <c r="P406" s="22">
        <f>ROUND(0.04*548.5,0)*3.53</f>
        <v>77.66</v>
      </c>
      <c r="Q406" s="20">
        <f t="shared" si="12"/>
        <v>544.41</v>
      </c>
    </row>
    <row r="407" spans="1:17" ht="12.75">
      <c r="A407" s="73">
        <f t="shared" si="13"/>
        <v>400</v>
      </c>
      <c r="B407" s="10" t="s">
        <v>483</v>
      </c>
      <c r="C407" s="10">
        <v>21469</v>
      </c>
      <c r="D407" s="45">
        <v>2</v>
      </c>
      <c r="E407" s="43">
        <v>135.6</v>
      </c>
      <c r="F407" s="43">
        <v>108.48</v>
      </c>
      <c r="G407" s="43">
        <v>94.92</v>
      </c>
      <c r="H407" s="43">
        <v>67.8</v>
      </c>
      <c r="I407" s="43">
        <v>40.68</v>
      </c>
      <c r="J407" s="43">
        <v>27.12</v>
      </c>
      <c r="K407" s="43">
        <f>ROUND(0.04*143.25,0)*3.53*2</f>
        <v>42.36</v>
      </c>
      <c r="L407" s="43">
        <f>ROUND(0.04*235.08,0)*3.53*2</f>
        <v>63.54</v>
      </c>
      <c r="M407" s="43">
        <f>ROUND(0.04*314.17,0)*3.53*2</f>
        <v>91.78</v>
      </c>
      <c r="N407" s="43">
        <f>ROUND(0.04*430.83,0)*3.53*2</f>
        <v>120.02</v>
      </c>
      <c r="O407" s="43">
        <f>ROUND(0.04*492.08,0)*3.53*2</f>
        <v>141.2</v>
      </c>
      <c r="P407" s="43">
        <f>ROUND(0.04*548.5,0)*3.53*2</f>
        <v>155.32</v>
      </c>
      <c r="Q407" s="43">
        <f t="shared" si="12"/>
        <v>1088.82</v>
      </c>
    </row>
    <row r="408" spans="1:17" ht="12.75">
      <c r="A408" s="73">
        <f t="shared" si="13"/>
        <v>401</v>
      </c>
      <c r="B408" s="9" t="s">
        <v>484</v>
      </c>
      <c r="C408" s="9">
        <v>21481</v>
      </c>
      <c r="D408" s="17">
        <v>2</v>
      </c>
      <c r="E408" s="20">
        <v>135.6</v>
      </c>
      <c r="F408" s="20">
        <v>108.48</v>
      </c>
      <c r="G408" s="20">
        <v>94.92</v>
      </c>
      <c r="H408" s="20">
        <v>67.8</v>
      </c>
      <c r="I408" s="22">
        <v>40.68</v>
      </c>
      <c r="J408" s="20">
        <v>27.12</v>
      </c>
      <c r="K408" s="22">
        <f>ROUND(0.04*143.25,0)*3.53*2</f>
        <v>42.36</v>
      </c>
      <c r="L408" s="22">
        <f>ROUND(0.04*235.08,0)*3.53*2</f>
        <v>63.54</v>
      </c>
      <c r="M408" s="22">
        <f>ROUND(0.04*314.17,0)*3.53*2</f>
        <v>91.78</v>
      </c>
      <c r="N408" s="22">
        <f>ROUND(0.04*430.83,0)*3.53*2</f>
        <v>120.02</v>
      </c>
      <c r="O408" s="22">
        <f>ROUND(0.04*492.08,0)*3.53*2</f>
        <v>141.2</v>
      </c>
      <c r="P408" s="22">
        <f>ROUND(0.04*548.5,0)*3.53*2</f>
        <v>155.32</v>
      </c>
      <c r="Q408" s="20">
        <f t="shared" si="12"/>
        <v>1088.82</v>
      </c>
    </row>
    <row r="409" spans="1:17" ht="12.75">
      <c r="A409" s="73">
        <f t="shared" si="13"/>
        <v>402</v>
      </c>
      <c r="B409" s="9" t="s">
        <v>485</v>
      </c>
      <c r="C409" s="9">
        <v>21271</v>
      </c>
      <c r="D409" s="17" t="s">
        <v>585</v>
      </c>
      <c r="E409" s="20">
        <v>299.93</v>
      </c>
      <c r="F409" s="20">
        <v>153.09</v>
      </c>
      <c r="G409" s="20">
        <v>144.14</v>
      </c>
      <c r="H409" s="20">
        <v>103.43</v>
      </c>
      <c r="I409" s="20">
        <v>83.54</v>
      </c>
      <c r="J409" s="20">
        <v>73.24</v>
      </c>
      <c r="K409" s="22">
        <v>56.95</v>
      </c>
      <c r="L409" s="20">
        <v>44.16</v>
      </c>
      <c r="M409" s="20">
        <v>104.61</v>
      </c>
      <c r="N409" s="20">
        <v>113.85</v>
      </c>
      <c r="O409" s="20">
        <v>193.36</v>
      </c>
      <c r="P409" s="20">
        <v>260.18</v>
      </c>
      <c r="Q409" s="20">
        <f t="shared" si="12"/>
        <v>1630.4799999999998</v>
      </c>
    </row>
    <row r="410" spans="1:17" ht="12.75">
      <c r="A410" s="73">
        <f t="shared" si="13"/>
        <v>403</v>
      </c>
      <c r="B410" s="47" t="s">
        <v>611</v>
      </c>
      <c r="C410" s="10"/>
      <c r="D410" s="45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>
        <f t="shared" si="12"/>
        <v>0</v>
      </c>
    </row>
    <row r="411" spans="1:17" ht="12.75">
      <c r="A411" s="73">
        <f t="shared" si="13"/>
        <v>404</v>
      </c>
      <c r="B411" s="9" t="s">
        <v>486</v>
      </c>
      <c r="C411" s="9">
        <v>21733</v>
      </c>
      <c r="D411" s="17">
        <v>1</v>
      </c>
      <c r="E411" s="21">
        <v>67.8</v>
      </c>
      <c r="F411" s="20">
        <v>54.24</v>
      </c>
      <c r="G411" s="20">
        <v>47.46</v>
      </c>
      <c r="H411" s="20">
        <v>33.9</v>
      </c>
      <c r="I411" s="20">
        <v>20.34</v>
      </c>
      <c r="J411" s="20">
        <v>13.56</v>
      </c>
      <c r="K411" s="22">
        <f>ROUND(0.04*143.25,0)*3.53</f>
        <v>21.18</v>
      </c>
      <c r="L411" s="22">
        <f>ROUND(0.04*235.08,0)*3.53</f>
        <v>31.77</v>
      </c>
      <c r="M411" s="22">
        <f>ROUND(0.04*314.17,0)*3.53</f>
        <v>45.89</v>
      </c>
      <c r="N411" s="22">
        <f>ROUND(0.04*430.83,0)*3.53</f>
        <v>60.01</v>
      </c>
      <c r="O411" s="22">
        <f>ROUND(0.04*492.08,0)*3.53</f>
        <v>70.6</v>
      </c>
      <c r="P411" s="22">
        <f>ROUND(0.04*548.5,0)*3.53</f>
        <v>77.66</v>
      </c>
      <c r="Q411" s="20">
        <f t="shared" si="12"/>
        <v>544.41</v>
      </c>
    </row>
    <row r="412" spans="1:17" ht="12.75">
      <c r="A412" s="73">
        <f t="shared" si="13"/>
        <v>405</v>
      </c>
      <c r="B412" s="9" t="s">
        <v>487</v>
      </c>
      <c r="C412" s="9">
        <v>21729</v>
      </c>
      <c r="D412" s="17">
        <v>2</v>
      </c>
      <c r="E412" s="20">
        <v>135.6</v>
      </c>
      <c r="F412" s="20">
        <v>108.48</v>
      </c>
      <c r="G412" s="20">
        <v>94.92</v>
      </c>
      <c r="H412" s="20">
        <v>67.8</v>
      </c>
      <c r="I412" s="22">
        <v>40.68</v>
      </c>
      <c r="J412" s="20">
        <v>27.12</v>
      </c>
      <c r="K412" s="22">
        <f>ROUND(0.04*143.25,0)*3.53*2</f>
        <v>42.36</v>
      </c>
      <c r="L412" s="22">
        <f>ROUND(0.04*235.08,0)*3.53*2</f>
        <v>63.54</v>
      </c>
      <c r="M412" s="22">
        <f>ROUND(0.04*314.17,0)*3.53*2</f>
        <v>91.78</v>
      </c>
      <c r="N412" s="22">
        <f>ROUND(0.04*430.83,0)*3.53*2</f>
        <v>120.02</v>
      </c>
      <c r="O412" s="22">
        <f>ROUND(0.04*492.08,0)*3.53*2</f>
        <v>141.2</v>
      </c>
      <c r="P412" s="22">
        <f>ROUND(0.04*548.5,0)*3.53*2</f>
        <v>155.32</v>
      </c>
      <c r="Q412" s="20">
        <f t="shared" si="12"/>
        <v>1088.82</v>
      </c>
    </row>
    <row r="413" spans="1:17" ht="12.75">
      <c r="A413" s="73">
        <f t="shared" si="13"/>
        <v>406</v>
      </c>
      <c r="B413" s="9" t="s">
        <v>488</v>
      </c>
      <c r="C413" s="9">
        <v>21487</v>
      </c>
      <c r="D413" s="17">
        <v>2</v>
      </c>
      <c r="E413" s="20">
        <v>135.6</v>
      </c>
      <c r="F413" s="20">
        <v>108.48</v>
      </c>
      <c r="G413" s="20">
        <v>94.92</v>
      </c>
      <c r="H413" s="20">
        <v>67.8</v>
      </c>
      <c r="I413" s="22">
        <v>40.68</v>
      </c>
      <c r="J413" s="20">
        <v>27.12</v>
      </c>
      <c r="K413" s="22">
        <f>ROUND(0.04*143.25,0)*3.53*2</f>
        <v>42.36</v>
      </c>
      <c r="L413" s="22">
        <f>ROUND(0.04*235.08,0)*3.53*2</f>
        <v>63.54</v>
      </c>
      <c r="M413" s="22">
        <f>ROUND(0.04*314.17,0)*3.53*2</f>
        <v>91.78</v>
      </c>
      <c r="N413" s="22">
        <f>ROUND(0.04*430.83,0)*3.53*2</f>
        <v>120.02</v>
      </c>
      <c r="O413" s="22">
        <f>ROUND(0.04*492.08,0)*3.53*2</f>
        <v>141.2</v>
      </c>
      <c r="P413" s="22">
        <f>ROUND(0.04*548.5,0)*3.53*2</f>
        <v>155.32</v>
      </c>
      <c r="Q413" s="20">
        <f t="shared" si="12"/>
        <v>1088.82</v>
      </c>
    </row>
    <row r="414" spans="1:17" ht="12.75">
      <c r="A414" s="73">
        <f t="shared" si="13"/>
        <v>407</v>
      </c>
      <c r="B414" s="10" t="s">
        <v>563</v>
      </c>
      <c r="C414" s="10">
        <v>10008</v>
      </c>
      <c r="D414" s="45" t="s">
        <v>584</v>
      </c>
      <c r="E414" s="46"/>
      <c r="F414" s="43"/>
      <c r="G414" s="43"/>
      <c r="H414" s="43"/>
      <c r="I414" s="43"/>
      <c r="J414" s="43"/>
      <c r="K414" s="43"/>
      <c r="L414" s="43"/>
      <c r="M414" s="46"/>
      <c r="N414" s="46"/>
      <c r="O414" s="46"/>
      <c r="P414" s="46"/>
      <c r="Q414" s="43">
        <f t="shared" si="12"/>
        <v>0</v>
      </c>
    </row>
    <row r="415" spans="1:17" ht="12.75">
      <c r="A415" s="73">
        <f t="shared" si="13"/>
        <v>408</v>
      </c>
      <c r="B415" s="9" t="s">
        <v>489</v>
      </c>
      <c r="C415" s="9">
        <v>12327</v>
      </c>
      <c r="D415" s="17" t="s">
        <v>585</v>
      </c>
      <c r="E415" s="20">
        <v>2908.23</v>
      </c>
      <c r="F415" s="20">
        <v>2883.1</v>
      </c>
      <c r="G415" s="20">
        <v>2475.43</v>
      </c>
      <c r="H415" s="20">
        <v>2580.4</v>
      </c>
      <c r="I415" s="20">
        <v>1546.33</v>
      </c>
      <c r="J415" s="20">
        <v>2413.47</v>
      </c>
      <c r="K415" s="22">
        <v>1665.9</v>
      </c>
      <c r="L415" s="20">
        <v>2129.1</v>
      </c>
      <c r="M415" s="20">
        <v>2430.48</v>
      </c>
      <c r="N415" s="20">
        <v>2551.59</v>
      </c>
      <c r="O415" s="20">
        <v>2510.25</v>
      </c>
      <c r="P415" s="20">
        <v>2704.86</v>
      </c>
      <c r="Q415" s="20">
        <f t="shared" si="12"/>
        <v>28799.14</v>
      </c>
    </row>
    <row r="416" spans="1:17" ht="12.75">
      <c r="A416" s="73">
        <f t="shared" si="13"/>
        <v>409</v>
      </c>
      <c r="B416" s="9" t="s">
        <v>490</v>
      </c>
      <c r="C416" s="9">
        <v>12308</v>
      </c>
      <c r="D416" s="17">
        <v>3</v>
      </c>
      <c r="E416" s="20">
        <v>203.4</v>
      </c>
      <c r="F416" s="20">
        <v>162.72</v>
      </c>
      <c r="G416" s="20">
        <v>142.38</v>
      </c>
      <c r="H416" s="20">
        <v>101.7</v>
      </c>
      <c r="I416" s="20">
        <v>61.02</v>
      </c>
      <c r="J416" s="20">
        <v>40.68</v>
      </c>
      <c r="K416" s="22">
        <f>ROUND(0.04*143.25,0)*3.53*3</f>
        <v>63.54</v>
      </c>
      <c r="L416" s="22">
        <f>ROUND(0.04*235.08,0)*3.53*3</f>
        <v>95.31</v>
      </c>
      <c r="M416" s="22">
        <f>ROUND(0.04*314.17,0)*3.53*3</f>
        <v>137.67000000000002</v>
      </c>
      <c r="N416" s="22">
        <f>ROUND(0.04*430.83,0)*3.53*3</f>
        <v>180.03</v>
      </c>
      <c r="O416" s="22">
        <f>ROUND(0.04*492.08,0)*3.53*3</f>
        <v>211.79999999999998</v>
      </c>
      <c r="P416" s="22">
        <f>ROUND(0.04*548.5,0)*3.53*3</f>
        <v>232.98</v>
      </c>
      <c r="Q416" s="20">
        <f t="shared" si="12"/>
        <v>1633.23</v>
      </c>
    </row>
    <row r="417" spans="1:231" s="44" customFormat="1" ht="12.75">
      <c r="A417" s="73">
        <f t="shared" si="13"/>
        <v>410</v>
      </c>
      <c r="B417" s="9" t="s">
        <v>491</v>
      </c>
      <c r="C417" s="9">
        <v>12300</v>
      </c>
      <c r="D417" s="17" t="s">
        <v>584</v>
      </c>
      <c r="E417" s="21"/>
      <c r="F417" s="20"/>
      <c r="G417" s="20"/>
      <c r="H417" s="20"/>
      <c r="I417" s="20"/>
      <c r="J417" s="20"/>
      <c r="K417" s="22"/>
      <c r="L417" s="20"/>
      <c r="M417" s="21"/>
      <c r="N417" s="21"/>
      <c r="O417" s="21"/>
      <c r="P417" s="21"/>
      <c r="Q417" s="20">
        <f t="shared" si="12"/>
        <v>0</v>
      </c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</row>
    <row r="418" spans="1:231" s="44" customFormat="1" ht="12.75">
      <c r="A418" s="73">
        <f t="shared" si="13"/>
        <v>411</v>
      </c>
      <c r="B418" s="9" t="s">
        <v>492</v>
      </c>
      <c r="C418" s="9">
        <v>12301</v>
      </c>
      <c r="D418" s="17">
        <v>15</v>
      </c>
      <c r="E418" s="20">
        <v>1017</v>
      </c>
      <c r="F418" s="20">
        <v>813.6</v>
      </c>
      <c r="G418" s="20">
        <v>711.9</v>
      </c>
      <c r="H418" s="20">
        <v>508.5</v>
      </c>
      <c r="I418" s="20">
        <v>305.1</v>
      </c>
      <c r="J418" s="20">
        <v>203.4</v>
      </c>
      <c r="K418" s="22">
        <f>ROUND(0.04*143.25,0)*3.53*15</f>
        <v>317.7</v>
      </c>
      <c r="L418" s="22">
        <f>ROUND(0.04*235.08,0)*3.53*15</f>
        <v>476.55</v>
      </c>
      <c r="M418" s="22">
        <f>ROUND(0.04*314.17,0)*3.53*15</f>
        <v>688.35</v>
      </c>
      <c r="N418" s="22">
        <f>ROUND(0.04*430.83,0)*3.53*15</f>
        <v>900.15</v>
      </c>
      <c r="O418" s="22">
        <f>ROUND(0.04*492.08,0)*3.53*15</f>
        <v>1059</v>
      </c>
      <c r="P418" s="22">
        <f>ROUND(0.04*548.5,0)*3.53*15</f>
        <v>1164.8999999999999</v>
      </c>
      <c r="Q418" s="20">
        <f t="shared" si="12"/>
        <v>8166.15</v>
      </c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</row>
    <row r="419" spans="1:231" s="44" customFormat="1" ht="12.75">
      <c r="A419" s="73">
        <f t="shared" si="13"/>
        <v>412</v>
      </c>
      <c r="B419" s="9" t="s">
        <v>493</v>
      </c>
      <c r="C419" s="9">
        <v>21492</v>
      </c>
      <c r="D419" s="17" t="s">
        <v>584</v>
      </c>
      <c r="E419" s="21"/>
      <c r="F419" s="20"/>
      <c r="G419" s="20"/>
      <c r="H419" s="20"/>
      <c r="I419" s="20"/>
      <c r="J419" s="20"/>
      <c r="K419" s="22"/>
      <c r="L419" s="20"/>
      <c r="M419" s="21"/>
      <c r="N419" s="21"/>
      <c r="O419" s="21"/>
      <c r="P419" s="21"/>
      <c r="Q419" s="20">
        <f t="shared" si="12"/>
        <v>0</v>
      </c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</row>
    <row r="420" spans="1:231" s="44" customFormat="1" ht="12.75">
      <c r="A420" s="73">
        <f t="shared" si="13"/>
        <v>413</v>
      </c>
      <c r="B420" s="9" t="s">
        <v>494</v>
      </c>
      <c r="C420" s="9">
        <v>21489</v>
      </c>
      <c r="D420" s="17">
        <v>0</v>
      </c>
      <c r="E420" s="21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2"/>
      <c r="L420" s="20"/>
      <c r="M420" s="20"/>
      <c r="N420" s="20"/>
      <c r="O420" s="20"/>
      <c r="P420" s="20"/>
      <c r="Q420" s="20">
        <f t="shared" si="12"/>
        <v>0</v>
      </c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</row>
    <row r="421" spans="1:17" ht="12.75">
      <c r="A421" s="73">
        <f t="shared" si="13"/>
        <v>414</v>
      </c>
      <c r="B421" s="9" t="s">
        <v>495</v>
      </c>
      <c r="C421" s="9">
        <v>21749</v>
      </c>
      <c r="D421" s="17">
        <v>1</v>
      </c>
      <c r="E421" s="21">
        <v>67.8</v>
      </c>
      <c r="F421" s="20">
        <v>54.24</v>
      </c>
      <c r="G421" s="20">
        <v>47.46</v>
      </c>
      <c r="H421" s="20">
        <v>33.9</v>
      </c>
      <c r="I421" s="20">
        <v>20.34</v>
      </c>
      <c r="J421" s="20">
        <v>13.56</v>
      </c>
      <c r="K421" s="22">
        <f>ROUND(0.04*143.25,0)*3.53</f>
        <v>21.18</v>
      </c>
      <c r="L421" s="22">
        <f>ROUND(0.04*235.08,0)*3.53</f>
        <v>31.77</v>
      </c>
      <c r="M421" s="22">
        <f>ROUND(0.04*314.17,0)*3.53</f>
        <v>45.89</v>
      </c>
      <c r="N421" s="22">
        <f>ROUND(0.04*430.83,0)*3.53</f>
        <v>60.01</v>
      </c>
      <c r="O421" s="22">
        <f>ROUND(0.04*492.08,0)*3.53</f>
        <v>70.6</v>
      </c>
      <c r="P421" s="22">
        <f>ROUND(0.04*548.5,0)*3.53</f>
        <v>77.66</v>
      </c>
      <c r="Q421" s="20">
        <f t="shared" si="12"/>
        <v>544.41</v>
      </c>
    </row>
    <row r="422" spans="1:17" ht="12.75">
      <c r="A422" s="73">
        <f t="shared" si="13"/>
        <v>415</v>
      </c>
      <c r="B422" s="9" t="s">
        <v>496</v>
      </c>
      <c r="C422" s="9">
        <v>12309</v>
      </c>
      <c r="D422" s="17" t="s">
        <v>584</v>
      </c>
      <c r="E422" s="21"/>
      <c r="F422" s="20"/>
      <c r="G422" s="20"/>
      <c r="H422" s="20"/>
      <c r="I422" s="20"/>
      <c r="J422" s="20"/>
      <c r="K422" s="22"/>
      <c r="L422" s="20"/>
      <c r="M422" s="21"/>
      <c r="N422" s="21"/>
      <c r="O422" s="21"/>
      <c r="P422" s="21"/>
      <c r="Q422" s="20">
        <f t="shared" si="12"/>
        <v>0</v>
      </c>
    </row>
    <row r="423" spans="1:17" ht="12.75">
      <c r="A423" s="73">
        <f t="shared" si="13"/>
        <v>416</v>
      </c>
      <c r="B423" s="9" t="s">
        <v>497</v>
      </c>
      <c r="C423" s="9">
        <v>12310</v>
      </c>
      <c r="D423" s="17">
        <v>10</v>
      </c>
      <c r="E423" s="20">
        <v>678</v>
      </c>
      <c r="F423" s="20">
        <v>542.4</v>
      </c>
      <c r="G423" s="20">
        <v>474.6</v>
      </c>
      <c r="H423" s="20">
        <v>339</v>
      </c>
      <c r="I423" s="20">
        <v>203.4</v>
      </c>
      <c r="J423" s="20">
        <v>135.6</v>
      </c>
      <c r="K423" s="22">
        <f>ROUND(0.04*143.25,0)*3.53*10</f>
        <v>211.8</v>
      </c>
      <c r="L423" s="22">
        <f>ROUND(0.04*235.08,0)*3.53*10</f>
        <v>317.7</v>
      </c>
      <c r="M423" s="22">
        <f>ROUND(0.04*314.17,0)*3.53*10</f>
        <v>458.9</v>
      </c>
      <c r="N423" s="22">
        <f>ROUND(0.04*430.83,0)*3.53*10</f>
        <v>600.1</v>
      </c>
      <c r="O423" s="22">
        <f>ROUND(0.04*492.08,0)*3.53*10</f>
        <v>706</v>
      </c>
      <c r="P423" s="22">
        <f>ROUND(0.04*548.5,0)*3.53*10</f>
        <v>776.5999999999999</v>
      </c>
      <c r="Q423" s="20">
        <f t="shared" si="12"/>
        <v>5444.1</v>
      </c>
    </row>
    <row r="424" spans="1:17" ht="12.75">
      <c r="A424" s="73">
        <f t="shared" si="13"/>
        <v>417</v>
      </c>
      <c r="B424" s="18" t="s">
        <v>498</v>
      </c>
      <c r="C424" s="18">
        <v>12311</v>
      </c>
      <c r="D424" s="19">
        <v>4</v>
      </c>
      <c r="E424" s="23">
        <v>271.2</v>
      </c>
      <c r="F424" s="23">
        <v>216.96</v>
      </c>
      <c r="G424" s="23">
        <v>189.84</v>
      </c>
      <c r="H424" s="23">
        <v>135.6</v>
      </c>
      <c r="I424" s="23">
        <v>81.36</v>
      </c>
      <c r="J424" s="23">
        <v>54.24</v>
      </c>
      <c r="K424" s="38">
        <f>ROUND(0.04*143.25,0)*3.53*4</f>
        <v>84.72</v>
      </c>
      <c r="L424" s="38">
        <f>ROUND(0.04*235.08,0)*3.53*4</f>
        <v>127.08</v>
      </c>
      <c r="M424" s="38">
        <f>ROUND(0.04*314.17,0)*3.53*4</f>
        <v>183.56</v>
      </c>
      <c r="N424" s="38">
        <f>ROUND(0.04*430.83,0)*3.53*4</f>
        <v>240.04</v>
      </c>
      <c r="O424" s="38">
        <f>ROUND(0.04*492.08,0)*3.53*4</f>
        <v>282.4</v>
      </c>
      <c r="P424" s="38">
        <f>ROUND(0.04*548.5,0)*3.53*4</f>
        <v>310.64</v>
      </c>
      <c r="Q424" s="20">
        <f t="shared" si="12"/>
        <v>2177.64</v>
      </c>
    </row>
    <row r="425" spans="1:17" ht="12.75">
      <c r="A425" s="73">
        <f t="shared" si="13"/>
        <v>418</v>
      </c>
      <c r="B425" s="40" t="s">
        <v>499</v>
      </c>
      <c r="C425" s="18">
        <v>12655</v>
      </c>
      <c r="D425" s="19">
        <v>3</v>
      </c>
      <c r="E425" s="23">
        <v>203.4</v>
      </c>
      <c r="F425" s="23">
        <v>162.72</v>
      </c>
      <c r="G425" s="23">
        <v>142.38</v>
      </c>
      <c r="H425" s="23">
        <v>101.7</v>
      </c>
      <c r="I425" s="23">
        <v>61.02</v>
      </c>
      <c r="J425" s="23">
        <v>40.68</v>
      </c>
      <c r="K425" s="38">
        <f>ROUND(0.04*143.25,0)*3.53*3</f>
        <v>63.54</v>
      </c>
      <c r="L425" s="38">
        <f>ROUND(0.04*235.08,0)*3.53*3</f>
        <v>95.31</v>
      </c>
      <c r="M425" s="38">
        <f>ROUND(0.04*314.17,0)*3.53*3</f>
        <v>137.67000000000002</v>
      </c>
      <c r="N425" s="38">
        <f>ROUND(0.04*430.83,0)*3.53*3</f>
        <v>180.03</v>
      </c>
      <c r="O425" s="38">
        <f>ROUND(0.04*492.08,0)*3.53*3</f>
        <v>211.79999999999998</v>
      </c>
      <c r="P425" s="38">
        <f>ROUND(0.04*548.5,0)*3.53*3</f>
        <v>232.98</v>
      </c>
      <c r="Q425" s="20">
        <f t="shared" si="12"/>
        <v>1633.23</v>
      </c>
    </row>
    <row r="426" spans="1:17" ht="12.75">
      <c r="A426" s="73">
        <f t="shared" si="13"/>
        <v>419</v>
      </c>
      <c r="B426" s="60" t="s">
        <v>500</v>
      </c>
      <c r="C426" s="62">
        <v>12662</v>
      </c>
      <c r="D426" s="65" t="s">
        <v>584</v>
      </c>
      <c r="E426" s="91">
        <v>0</v>
      </c>
      <c r="F426" s="66">
        <v>0</v>
      </c>
      <c r="G426" s="66">
        <v>0</v>
      </c>
      <c r="H426" s="66"/>
      <c r="I426" s="66"/>
      <c r="J426" s="66"/>
      <c r="K426" s="66"/>
      <c r="L426" s="66"/>
      <c r="M426" s="66"/>
      <c r="N426" s="66"/>
      <c r="O426" s="66"/>
      <c r="P426" s="66"/>
      <c r="Q426" s="43">
        <f t="shared" si="12"/>
        <v>0</v>
      </c>
    </row>
    <row r="427" spans="1:17" ht="12.75">
      <c r="A427" s="73">
        <f t="shared" si="13"/>
        <v>420</v>
      </c>
      <c r="B427" s="60" t="s">
        <v>501</v>
      </c>
      <c r="C427" s="62">
        <v>12667</v>
      </c>
      <c r="D427" s="65">
        <v>0</v>
      </c>
      <c r="E427" s="91">
        <v>0</v>
      </c>
      <c r="F427" s="66">
        <v>0</v>
      </c>
      <c r="G427" s="66">
        <v>0</v>
      </c>
      <c r="H427" s="66">
        <v>0</v>
      </c>
      <c r="I427" s="66">
        <v>0</v>
      </c>
      <c r="J427" s="66">
        <v>0</v>
      </c>
      <c r="K427" s="66"/>
      <c r="L427" s="66"/>
      <c r="M427" s="66"/>
      <c r="N427" s="66"/>
      <c r="O427" s="66"/>
      <c r="P427" s="66"/>
      <c r="Q427" s="43">
        <f t="shared" si="12"/>
        <v>0</v>
      </c>
    </row>
    <row r="428" spans="1:17" ht="12.75">
      <c r="A428" s="73">
        <f t="shared" si="13"/>
        <v>421</v>
      </c>
      <c r="B428" s="53" t="s">
        <v>502</v>
      </c>
      <c r="C428" s="18">
        <v>21836</v>
      </c>
      <c r="D428" s="19">
        <v>0</v>
      </c>
      <c r="E428" s="67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38"/>
      <c r="L428" s="23"/>
      <c r="M428" s="23"/>
      <c r="N428" s="23"/>
      <c r="O428" s="23"/>
      <c r="P428" s="23"/>
      <c r="Q428" s="20">
        <f t="shared" si="12"/>
        <v>0</v>
      </c>
    </row>
    <row r="429" spans="1:17" ht="12.75">
      <c r="A429" s="73">
        <f t="shared" si="13"/>
        <v>422</v>
      </c>
      <c r="B429" s="53" t="s">
        <v>503</v>
      </c>
      <c r="C429" s="18">
        <v>19757</v>
      </c>
      <c r="D429" s="63" t="s">
        <v>588</v>
      </c>
      <c r="E429" s="23">
        <v>1597.26</v>
      </c>
      <c r="F429" s="23">
        <v>78.28</v>
      </c>
      <c r="G429" s="23">
        <v>1298.25</v>
      </c>
      <c r="H429" s="23">
        <v>1390.67</v>
      </c>
      <c r="I429" s="23">
        <v>1142.67</v>
      </c>
      <c r="J429" s="23">
        <v>992.21</v>
      </c>
      <c r="K429" s="38">
        <v>5202.21</v>
      </c>
      <c r="L429" s="23">
        <v>1609.17</v>
      </c>
      <c r="M429" s="23">
        <v>2324.98</v>
      </c>
      <c r="N429" s="23">
        <v>2289.33</v>
      </c>
      <c r="O429" s="23">
        <v>2319.87</v>
      </c>
      <c r="P429" s="23">
        <v>2550.67</v>
      </c>
      <c r="Q429" s="20">
        <f t="shared" si="12"/>
        <v>22795.57</v>
      </c>
    </row>
    <row r="430" spans="1:17" ht="12.75">
      <c r="A430" s="73">
        <f t="shared" si="13"/>
        <v>423</v>
      </c>
      <c r="B430" s="53" t="s">
        <v>504</v>
      </c>
      <c r="C430" s="18">
        <v>19759</v>
      </c>
      <c r="D430" s="63" t="s">
        <v>588</v>
      </c>
      <c r="E430" s="23">
        <v>4530.09</v>
      </c>
      <c r="F430" s="38">
        <v>736.05</v>
      </c>
      <c r="G430" s="23">
        <v>4048</v>
      </c>
      <c r="H430" s="23">
        <v>4056.02</v>
      </c>
      <c r="I430" s="23">
        <v>3284.03</v>
      </c>
      <c r="J430" s="23">
        <v>3595.97</v>
      </c>
      <c r="K430" s="38">
        <v>2427.45</v>
      </c>
      <c r="L430" s="23">
        <v>4009.63</v>
      </c>
      <c r="M430" s="23">
        <v>3925.36</v>
      </c>
      <c r="N430" s="23">
        <v>3370.71</v>
      </c>
      <c r="O430" s="23">
        <v>4495.12</v>
      </c>
      <c r="P430" s="23">
        <v>4918.4</v>
      </c>
      <c r="Q430" s="20">
        <f t="shared" si="12"/>
        <v>43396.83000000001</v>
      </c>
    </row>
    <row r="431" spans="1:17" ht="12.75">
      <c r="A431" s="73">
        <f t="shared" si="13"/>
        <v>424</v>
      </c>
      <c r="B431" s="53" t="s">
        <v>505</v>
      </c>
      <c r="C431" s="18">
        <v>12760</v>
      </c>
      <c r="D431" s="19" t="s">
        <v>585</v>
      </c>
      <c r="E431" s="23">
        <v>7093.63</v>
      </c>
      <c r="F431" s="23">
        <v>7737.75</v>
      </c>
      <c r="G431" s="23">
        <v>6459.17</v>
      </c>
      <c r="H431" s="23">
        <v>5751.4</v>
      </c>
      <c r="I431" s="23">
        <v>7234.26</v>
      </c>
      <c r="J431" s="23">
        <v>5363.52</v>
      </c>
      <c r="K431" s="38">
        <v>4032.19</v>
      </c>
      <c r="L431" s="23">
        <v>4740.12</v>
      </c>
      <c r="M431" s="23">
        <v>4927.06</v>
      </c>
      <c r="N431" s="23">
        <v>5099.01</v>
      </c>
      <c r="O431" s="23">
        <v>5787.79</v>
      </c>
      <c r="P431" s="23">
        <v>5802.72</v>
      </c>
      <c r="Q431" s="20">
        <f t="shared" si="12"/>
        <v>70028.62000000001</v>
      </c>
    </row>
    <row r="432" spans="1:17" ht="12.75">
      <c r="A432" s="73">
        <f t="shared" si="13"/>
        <v>425</v>
      </c>
      <c r="B432" s="53" t="s">
        <v>506</v>
      </c>
      <c r="C432" s="18">
        <v>12761</v>
      </c>
      <c r="D432" s="63" t="s">
        <v>588</v>
      </c>
      <c r="E432" s="23">
        <v>219.94</v>
      </c>
      <c r="F432" s="23">
        <v>8582.7</v>
      </c>
      <c r="G432" s="23">
        <v>7521.36</v>
      </c>
      <c r="H432" s="23">
        <v>7702.65</v>
      </c>
      <c r="I432" s="23">
        <v>8837.73</v>
      </c>
      <c r="J432" s="23">
        <v>6718.75</v>
      </c>
      <c r="K432" s="38">
        <v>6458.76</v>
      </c>
      <c r="L432" s="23">
        <v>6347.88</v>
      </c>
      <c r="M432" s="23">
        <v>8306.76</v>
      </c>
      <c r="N432" s="23">
        <v>7813.55</v>
      </c>
      <c r="O432" s="23">
        <v>8552.69</v>
      </c>
      <c r="P432" s="23">
        <v>7792.87</v>
      </c>
      <c r="Q432" s="20">
        <f t="shared" si="12"/>
        <v>84855.64</v>
      </c>
    </row>
    <row r="433" spans="1:17" ht="12.75">
      <c r="A433" s="73">
        <f t="shared" si="13"/>
        <v>426</v>
      </c>
      <c r="B433" s="53" t="s">
        <v>507</v>
      </c>
      <c r="C433" s="18">
        <v>12762</v>
      </c>
      <c r="D433" s="19" t="s">
        <v>585</v>
      </c>
      <c r="E433" s="23">
        <v>4114.78</v>
      </c>
      <c r="F433" s="23">
        <v>4485.68</v>
      </c>
      <c r="G433" s="23">
        <v>3289.01</v>
      </c>
      <c r="H433" s="23">
        <v>3569.69</v>
      </c>
      <c r="I433" s="23">
        <v>4251.06</v>
      </c>
      <c r="J433" s="23">
        <v>3507.6</v>
      </c>
      <c r="K433" s="38">
        <v>3178.56</v>
      </c>
      <c r="L433" s="23">
        <v>3668.28</v>
      </c>
      <c r="M433" s="23">
        <v>3326.4</v>
      </c>
      <c r="N433" s="23">
        <v>3676.96</v>
      </c>
      <c r="O433" s="23">
        <v>5020.87</v>
      </c>
      <c r="P433" s="23">
        <v>4949.09</v>
      </c>
      <c r="Q433" s="20">
        <f t="shared" si="12"/>
        <v>47037.979999999996</v>
      </c>
    </row>
    <row r="434" spans="1:17" ht="12.75">
      <c r="A434" s="73">
        <f t="shared" si="13"/>
        <v>427</v>
      </c>
      <c r="B434" s="59" t="s">
        <v>508</v>
      </c>
      <c r="C434" s="62">
        <v>12365</v>
      </c>
      <c r="D434" s="63" t="s">
        <v>588</v>
      </c>
      <c r="E434" s="23">
        <v>119633.29</v>
      </c>
      <c r="F434" s="23">
        <v>102073.59</v>
      </c>
      <c r="G434" s="23">
        <v>88553.64</v>
      </c>
      <c r="H434" s="23">
        <v>93836.69</v>
      </c>
      <c r="I434" s="23">
        <v>98291.11</v>
      </c>
      <c r="J434" s="23">
        <v>73634.74</v>
      </c>
      <c r="K434" s="38">
        <f>11367.29+63957.6</f>
        <v>75324.89</v>
      </c>
      <c r="L434" s="23">
        <f>11319.01+67932</f>
        <v>79251.01</v>
      </c>
      <c r="M434" s="23">
        <f>86275.8+9900.18</f>
        <v>96175.98000000001</v>
      </c>
      <c r="N434" s="23">
        <f>92163.8+13324.69</f>
        <v>105488.49</v>
      </c>
      <c r="O434" s="23">
        <f>24217.67+88056</f>
        <v>112273.67</v>
      </c>
      <c r="P434" s="23">
        <f>90175.28+16998.75</f>
        <v>107174.03</v>
      </c>
      <c r="Q434" s="20">
        <f aca="true" t="shared" si="14" ref="Q434:Q497">E434+F434+G434+H434+I434+J434+K434+L434+M434+N434+O434+P434</f>
        <v>1151711.1300000001</v>
      </c>
    </row>
    <row r="435" spans="1:17" ht="12.75">
      <c r="A435" s="73">
        <f t="shared" si="13"/>
        <v>428</v>
      </c>
      <c r="B435" s="59" t="s">
        <v>508</v>
      </c>
      <c r="C435" s="62">
        <v>12363</v>
      </c>
      <c r="D435" s="19"/>
      <c r="E435" s="23"/>
      <c r="F435" s="23"/>
      <c r="G435" s="23"/>
      <c r="H435" s="23"/>
      <c r="I435" s="23"/>
      <c r="J435" s="23"/>
      <c r="K435" s="38"/>
      <c r="L435" s="23">
        <v>31.77</v>
      </c>
      <c r="M435" s="23"/>
      <c r="N435" s="23"/>
      <c r="O435" s="23"/>
      <c r="P435" s="23"/>
      <c r="Q435" s="20">
        <f t="shared" si="14"/>
        <v>31.77</v>
      </c>
    </row>
    <row r="436" spans="1:17" ht="12.75">
      <c r="A436" s="73">
        <f t="shared" si="13"/>
        <v>429</v>
      </c>
      <c r="B436" s="53" t="s">
        <v>509</v>
      </c>
      <c r="C436" s="18">
        <v>12364</v>
      </c>
      <c r="D436" s="63" t="s">
        <v>588</v>
      </c>
      <c r="E436" s="23">
        <v>11547.2</v>
      </c>
      <c r="F436" s="23">
        <v>2371.6</v>
      </c>
      <c r="G436" s="23">
        <v>7858.8</v>
      </c>
      <c r="H436" s="23">
        <v>8985.71</v>
      </c>
      <c r="I436" s="23">
        <v>10763.25</v>
      </c>
      <c r="J436" s="23">
        <v>9427.15</v>
      </c>
      <c r="K436" s="38">
        <v>8768.76</v>
      </c>
      <c r="L436" s="23">
        <v>9328.85</v>
      </c>
      <c r="M436" s="23">
        <v>6316.61</v>
      </c>
      <c r="N436" s="23">
        <v>10173.34</v>
      </c>
      <c r="O436" s="23">
        <v>9552.02</v>
      </c>
      <c r="P436" s="23">
        <v>8528.52</v>
      </c>
      <c r="Q436" s="20">
        <f t="shared" si="14"/>
        <v>103621.81000000001</v>
      </c>
    </row>
    <row r="437" spans="1:17" ht="12.75">
      <c r="A437" s="73">
        <f t="shared" si="13"/>
        <v>430</v>
      </c>
      <c r="B437" s="53" t="s">
        <v>510</v>
      </c>
      <c r="C437" s="18">
        <v>33018</v>
      </c>
      <c r="D437" s="19" t="s">
        <v>591</v>
      </c>
      <c r="E437" s="23"/>
      <c r="F437" s="23"/>
      <c r="G437" s="23"/>
      <c r="H437" s="23"/>
      <c r="I437" s="23"/>
      <c r="J437" s="23"/>
      <c r="K437" s="38"/>
      <c r="L437" s="23"/>
      <c r="M437" s="23"/>
      <c r="N437" s="23"/>
      <c r="O437" s="23"/>
      <c r="P437" s="23"/>
      <c r="Q437" s="20">
        <f t="shared" si="14"/>
        <v>0</v>
      </c>
    </row>
    <row r="438" spans="1:17" ht="12.75">
      <c r="A438" s="73">
        <f t="shared" si="13"/>
        <v>431</v>
      </c>
      <c r="B438" s="53" t="s">
        <v>511</v>
      </c>
      <c r="C438" s="18">
        <v>12673</v>
      </c>
      <c r="D438" s="63" t="s">
        <v>588</v>
      </c>
      <c r="E438" s="23">
        <v>5781.45</v>
      </c>
      <c r="F438" s="23">
        <v>4672.1</v>
      </c>
      <c r="G438" s="23">
        <v>4786.32</v>
      </c>
      <c r="H438" s="23">
        <v>5437.19</v>
      </c>
      <c r="I438" s="23">
        <v>5722.32</v>
      </c>
      <c r="J438" s="23">
        <v>3629.86</v>
      </c>
      <c r="K438" s="38">
        <v>3348.43</v>
      </c>
      <c r="L438" s="23">
        <v>3498.41</v>
      </c>
      <c r="M438" s="23">
        <v>5219.19</v>
      </c>
      <c r="N438" s="23">
        <v>44728.74</v>
      </c>
      <c r="O438" s="23">
        <v>5091.24</v>
      </c>
      <c r="P438" s="23">
        <v>5466.53</v>
      </c>
      <c r="Q438" s="20">
        <f t="shared" si="14"/>
        <v>97381.78000000001</v>
      </c>
    </row>
    <row r="439" spans="1:17" ht="12.75">
      <c r="A439" s="73">
        <f t="shared" si="13"/>
        <v>432</v>
      </c>
      <c r="B439" s="53" t="s">
        <v>512</v>
      </c>
      <c r="C439" s="18">
        <v>12752</v>
      </c>
      <c r="D439" s="63" t="s">
        <v>588</v>
      </c>
      <c r="E439" s="23">
        <v>11261.69</v>
      </c>
      <c r="F439" s="23">
        <v>3646.2</v>
      </c>
      <c r="G439" s="23">
        <v>9371.87</v>
      </c>
      <c r="H439" s="23">
        <v>9814.96</v>
      </c>
      <c r="I439" s="23">
        <v>9525.9</v>
      </c>
      <c r="J439" s="23">
        <v>7841.04</v>
      </c>
      <c r="K439" s="38">
        <v>5821.2</v>
      </c>
      <c r="L439" s="23">
        <v>6809.88</v>
      </c>
      <c r="M439" s="23">
        <v>8586.1</v>
      </c>
      <c r="N439" s="23">
        <v>8380.68</v>
      </c>
      <c r="O439" s="23">
        <v>10724.09</v>
      </c>
      <c r="P439" s="23">
        <v>9779.47</v>
      </c>
      <c r="Q439" s="20">
        <f t="shared" si="14"/>
        <v>101563.07999999999</v>
      </c>
    </row>
    <row r="440" spans="1:17" ht="12.75">
      <c r="A440" s="73">
        <f t="shared" si="13"/>
        <v>433</v>
      </c>
      <c r="B440" s="53" t="s">
        <v>513</v>
      </c>
      <c r="C440" s="18">
        <v>12755</v>
      </c>
      <c r="D440" s="63" t="s">
        <v>588</v>
      </c>
      <c r="E440" s="23">
        <v>44776.8</v>
      </c>
      <c r="F440" s="23">
        <v>658.47</v>
      </c>
      <c r="G440" s="23">
        <v>3385.34</v>
      </c>
      <c r="H440" s="23">
        <v>3406.44</v>
      </c>
      <c r="I440" s="23">
        <v>2983.2</v>
      </c>
      <c r="J440" s="23">
        <v>2761.68</v>
      </c>
      <c r="K440" s="38">
        <v>2177.09</v>
      </c>
      <c r="L440" s="23">
        <v>2433.67</v>
      </c>
      <c r="M440" s="23">
        <v>3310.06</v>
      </c>
      <c r="N440" s="23">
        <v>5558.93</v>
      </c>
      <c r="O440" s="23">
        <v>5300.21</v>
      </c>
      <c r="P440" s="23">
        <v>4416.72</v>
      </c>
      <c r="Q440" s="20">
        <f t="shared" si="14"/>
        <v>81168.61</v>
      </c>
    </row>
    <row r="441" spans="1:17" ht="12.75">
      <c r="A441" s="73">
        <f t="shared" si="13"/>
        <v>434</v>
      </c>
      <c r="B441" s="53" t="s">
        <v>514</v>
      </c>
      <c r="C441" s="18">
        <v>19760</v>
      </c>
      <c r="D441" s="63" t="s">
        <v>588</v>
      </c>
      <c r="E441" s="23">
        <v>11478.17</v>
      </c>
      <c r="F441" s="23">
        <v>3007.22</v>
      </c>
      <c r="G441" s="23">
        <v>11154.58</v>
      </c>
      <c r="H441" s="23">
        <v>8301.48</v>
      </c>
      <c r="I441" s="23">
        <v>10315.55</v>
      </c>
      <c r="J441" s="23">
        <v>11031.64</v>
      </c>
      <c r="K441" s="38">
        <v>8112.86</v>
      </c>
      <c r="L441" s="23">
        <v>9662.11</v>
      </c>
      <c r="M441" s="23">
        <v>12169.93</v>
      </c>
      <c r="N441" s="23">
        <v>10581.83</v>
      </c>
      <c r="O441" s="23">
        <v>12555.69</v>
      </c>
      <c r="P441" s="23">
        <v>11591.18</v>
      </c>
      <c r="Q441" s="20">
        <f t="shared" si="14"/>
        <v>119962.24000000002</v>
      </c>
    </row>
    <row r="442" spans="1:17" ht="12.75">
      <c r="A442" s="73">
        <f t="shared" si="13"/>
        <v>435</v>
      </c>
      <c r="B442" s="53" t="s">
        <v>515</v>
      </c>
      <c r="C442" s="18">
        <v>12753</v>
      </c>
      <c r="D442" s="63" t="s">
        <v>588</v>
      </c>
      <c r="E442" s="23">
        <v>5048.53</v>
      </c>
      <c r="F442" s="23">
        <v>722.69</v>
      </c>
      <c r="G442" s="23">
        <v>3105.94</v>
      </c>
      <c r="H442" s="23">
        <v>4178.29</v>
      </c>
      <c r="I442" s="23">
        <v>5203.65</v>
      </c>
      <c r="J442" s="23">
        <v>4114.85</v>
      </c>
      <c r="K442" s="38">
        <v>4216.99</v>
      </c>
      <c r="L442" s="23">
        <v>3890.04</v>
      </c>
      <c r="M442" s="23">
        <v>4139.52</v>
      </c>
      <c r="N442" s="23">
        <v>4152.31</v>
      </c>
      <c r="O442" s="23">
        <v>4374.07</v>
      </c>
      <c r="P442" s="23">
        <v>5174.4</v>
      </c>
      <c r="Q442" s="20">
        <f t="shared" si="14"/>
        <v>48321.28</v>
      </c>
    </row>
    <row r="443" spans="1:17" ht="12.75">
      <c r="A443" s="73">
        <f t="shared" si="13"/>
        <v>436</v>
      </c>
      <c r="B443" s="53" t="s">
        <v>516</v>
      </c>
      <c r="C443" s="18">
        <v>21784</v>
      </c>
      <c r="D443" s="19">
        <v>2</v>
      </c>
      <c r="E443" s="23">
        <v>135.6</v>
      </c>
      <c r="F443" s="23">
        <v>108.48</v>
      </c>
      <c r="G443" s="23">
        <v>94.92</v>
      </c>
      <c r="H443" s="23">
        <v>67.8</v>
      </c>
      <c r="I443" s="38">
        <v>40.68</v>
      </c>
      <c r="J443" s="23">
        <v>27.12</v>
      </c>
      <c r="K443" s="38">
        <f>ROUND(0.04*143.25,0)*3.53*2</f>
        <v>42.36</v>
      </c>
      <c r="L443" s="38">
        <f>ROUND(0.04*235.08,0)*3.53*2</f>
        <v>63.54</v>
      </c>
      <c r="M443" s="38">
        <f>ROUND(0.04*314.17,0)*3.53*2</f>
        <v>91.78</v>
      </c>
      <c r="N443" s="38">
        <f>ROUND(0.04*430.83,0)*3.53*2</f>
        <v>120.02</v>
      </c>
      <c r="O443" s="38">
        <f>ROUND(0.04*492.08,0)*3.53*2</f>
        <v>141.2</v>
      </c>
      <c r="P443" s="38">
        <f>ROUND(0.04*548.5,0)*3.53*2</f>
        <v>155.32</v>
      </c>
      <c r="Q443" s="20">
        <f t="shared" si="14"/>
        <v>1088.82</v>
      </c>
    </row>
    <row r="444" spans="1:17" ht="12.75">
      <c r="A444" s="73">
        <f t="shared" si="13"/>
        <v>437</v>
      </c>
      <c r="B444" s="53" t="s">
        <v>517</v>
      </c>
      <c r="C444" s="18">
        <v>21786</v>
      </c>
      <c r="D444" s="19">
        <v>2</v>
      </c>
      <c r="E444" s="23">
        <v>135.6</v>
      </c>
      <c r="F444" s="23">
        <v>108.48</v>
      </c>
      <c r="G444" s="23">
        <v>94.92</v>
      </c>
      <c r="H444" s="23">
        <v>67.8</v>
      </c>
      <c r="I444" s="38">
        <v>40.68</v>
      </c>
      <c r="J444" s="23">
        <v>27.12</v>
      </c>
      <c r="K444" s="38">
        <f>ROUND(0.04*143.25,0)*3.53*2</f>
        <v>42.36</v>
      </c>
      <c r="L444" s="38">
        <f>ROUND(0.04*235.08,0)*3.53*2</f>
        <v>63.54</v>
      </c>
      <c r="M444" s="38">
        <f>ROUND(0.04*314.17,0)*3.53*2</f>
        <v>91.78</v>
      </c>
      <c r="N444" s="38">
        <f>ROUND(0.04*430.83,0)*3.53*2</f>
        <v>120.02</v>
      </c>
      <c r="O444" s="38">
        <f>ROUND(0.04*492.08,0)*3.53*2</f>
        <v>141.2</v>
      </c>
      <c r="P444" s="38">
        <f>ROUND(0.04*548.5,0)*3.53*2</f>
        <v>155.32</v>
      </c>
      <c r="Q444" s="20">
        <f t="shared" si="14"/>
        <v>1088.82</v>
      </c>
    </row>
    <row r="445" spans="1:17" ht="12.75">
      <c r="A445" s="73">
        <f t="shared" si="13"/>
        <v>438</v>
      </c>
      <c r="B445" s="53" t="s">
        <v>518</v>
      </c>
      <c r="C445" s="18">
        <v>21780</v>
      </c>
      <c r="D445" s="19" t="s">
        <v>584</v>
      </c>
      <c r="E445" s="67"/>
      <c r="F445" s="23"/>
      <c r="G445" s="23"/>
      <c r="H445" s="23"/>
      <c r="I445" s="23"/>
      <c r="J445" s="23"/>
      <c r="K445" s="38"/>
      <c r="L445" s="23"/>
      <c r="M445" s="67"/>
      <c r="N445" s="67"/>
      <c r="O445" s="67"/>
      <c r="P445" s="67"/>
      <c r="Q445" s="20">
        <f t="shared" si="14"/>
        <v>0</v>
      </c>
    </row>
    <row r="446" spans="1:17" ht="12.75">
      <c r="A446" s="73">
        <f t="shared" si="13"/>
        <v>439</v>
      </c>
      <c r="B446" s="58" t="s">
        <v>612</v>
      </c>
      <c r="C446" s="62"/>
      <c r="D446" s="65"/>
      <c r="E446" s="91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43">
        <f t="shared" si="14"/>
        <v>0</v>
      </c>
    </row>
    <row r="447" spans="1:17" ht="12.75">
      <c r="A447" s="73">
        <f t="shared" si="13"/>
        <v>440</v>
      </c>
      <c r="B447" s="53" t="s">
        <v>519</v>
      </c>
      <c r="C447" s="18">
        <v>12754</v>
      </c>
      <c r="D447" s="63" t="s">
        <v>588</v>
      </c>
      <c r="E447" s="23">
        <v>9664</v>
      </c>
      <c r="F447" s="23">
        <v>3112.05</v>
      </c>
      <c r="G447" s="23">
        <v>7080.77</v>
      </c>
      <c r="H447" s="23">
        <v>6631.87</v>
      </c>
      <c r="I447" s="23">
        <v>5240.61</v>
      </c>
      <c r="J447" s="23">
        <v>5580.05</v>
      </c>
      <c r="K447" s="38">
        <v>4671.89</v>
      </c>
      <c r="L447" s="23">
        <v>4420.27</v>
      </c>
      <c r="M447" s="23">
        <v>6316.61</v>
      </c>
      <c r="N447" s="23">
        <v>7007.47</v>
      </c>
      <c r="O447" s="23">
        <v>7610.21</v>
      </c>
      <c r="P447" s="23">
        <v>9539.23</v>
      </c>
      <c r="Q447" s="20">
        <f t="shared" si="14"/>
        <v>76875.03</v>
      </c>
    </row>
    <row r="448" spans="1:17" ht="12.75">
      <c r="A448" s="73">
        <f t="shared" si="13"/>
        <v>441</v>
      </c>
      <c r="B448" s="53" t="s">
        <v>520</v>
      </c>
      <c r="C448" s="18">
        <v>12756</v>
      </c>
      <c r="D448" s="19" t="s">
        <v>590</v>
      </c>
      <c r="E448" s="23">
        <v>474.6</v>
      </c>
      <c r="F448" s="23">
        <v>379.68</v>
      </c>
      <c r="G448" s="23">
        <v>332.22</v>
      </c>
      <c r="H448" s="23">
        <v>237.3</v>
      </c>
      <c r="I448" s="23">
        <v>142.38</v>
      </c>
      <c r="J448" s="23">
        <v>94.92</v>
      </c>
      <c r="K448" s="68">
        <f>ROUND(0.04*143.25,0)*3.53*6</f>
        <v>127.08</v>
      </c>
      <c r="L448" s="23">
        <v>194.15</v>
      </c>
      <c r="M448" s="23">
        <v>151.79</v>
      </c>
      <c r="N448" s="23">
        <v>141.2</v>
      </c>
      <c r="O448" s="23">
        <v>162.38</v>
      </c>
      <c r="P448" s="23">
        <v>201.21</v>
      </c>
      <c r="Q448" s="20">
        <f t="shared" si="14"/>
        <v>2638.91</v>
      </c>
    </row>
    <row r="449" spans="1:17" ht="12.75">
      <c r="A449" s="73">
        <f t="shared" si="13"/>
        <v>442</v>
      </c>
      <c r="B449" s="53" t="s">
        <v>521</v>
      </c>
      <c r="C449" s="18">
        <v>21497</v>
      </c>
      <c r="D449" s="19" t="s">
        <v>584</v>
      </c>
      <c r="E449" s="67"/>
      <c r="F449" s="23"/>
      <c r="G449" s="23"/>
      <c r="H449" s="23"/>
      <c r="I449" s="23"/>
      <c r="J449" s="23"/>
      <c r="K449" s="38"/>
      <c r="L449" s="23"/>
      <c r="M449" s="67"/>
      <c r="N449" s="67"/>
      <c r="O449" s="67"/>
      <c r="P449" s="67"/>
      <c r="Q449" s="20">
        <f t="shared" si="14"/>
        <v>0</v>
      </c>
    </row>
    <row r="450" spans="1:17" ht="12.75">
      <c r="A450" s="73">
        <f t="shared" si="13"/>
        <v>443</v>
      </c>
      <c r="B450" s="53" t="s">
        <v>522</v>
      </c>
      <c r="C450" s="18">
        <v>21278</v>
      </c>
      <c r="D450" s="19">
        <v>4</v>
      </c>
      <c r="E450" s="23">
        <v>271.2</v>
      </c>
      <c r="F450" s="23">
        <v>216.96</v>
      </c>
      <c r="G450" s="23">
        <v>189.84</v>
      </c>
      <c r="H450" s="23">
        <v>135.6</v>
      </c>
      <c r="I450" s="23">
        <v>81.36</v>
      </c>
      <c r="J450" s="23">
        <v>54.24</v>
      </c>
      <c r="K450" s="38">
        <f>ROUND(0.04*143.25,0)*3.53*4</f>
        <v>84.72</v>
      </c>
      <c r="L450" s="38">
        <f>ROUND(0.04*235.08,0)*3.53*4</f>
        <v>127.08</v>
      </c>
      <c r="M450" s="38">
        <f>ROUND(0.04*314.17,0)*3.53*4</f>
        <v>183.56</v>
      </c>
      <c r="N450" s="38">
        <f>ROUND(0.04*430.83,0)*3.53*4</f>
        <v>240.04</v>
      </c>
      <c r="O450" s="38">
        <f>ROUND(0.04*492.08,0)*3.53*4</f>
        <v>282.4</v>
      </c>
      <c r="P450" s="38">
        <f>ROUND(0.04*548.5,0)*3.53*4</f>
        <v>310.64</v>
      </c>
      <c r="Q450" s="20">
        <f t="shared" si="14"/>
        <v>2177.64</v>
      </c>
    </row>
    <row r="451" spans="1:17" ht="12.75">
      <c r="A451" s="73">
        <f t="shared" si="13"/>
        <v>444</v>
      </c>
      <c r="B451" s="53" t="s">
        <v>523</v>
      </c>
      <c r="C451" s="18">
        <v>21272</v>
      </c>
      <c r="D451" s="19">
        <v>3</v>
      </c>
      <c r="E451" s="23">
        <v>203.4</v>
      </c>
      <c r="F451" s="23">
        <v>162.72</v>
      </c>
      <c r="G451" s="23">
        <v>142.38</v>
      </c>
      <c r="H451" s="23">
        <v>101.7</v>
      </c>
      <c r="I451" s="23">
        <v>61.02</v>
      </c>
      <c r="J451" s="23">
        <v>40.68</v>
      </c>
      <c r="K451" s="38">
        <f>ROUND(0.04*143.25,0)*3.53*3</f>
        <v>63.54</v>
      </c>
      <c r="L451" s="38">
        <f>ROUND(0.04*235.08,0)*3.53*3</f>
        <v>95.31</v>
      </c>
      <c r="M451" s="38">
        <f>ROUND(0.04*314.17,0)*3.53*3</f>
        <v>137.67000000000002</v>
      </c>
      <c r="N451" s="38">
        <f>ROUND(0.04*430.83,0)*3.53*3</f>
        <v>180.03</v>
      </c>
      <c r="O451" s="38">
        <f>ROUND(0.04*492.08,0)*3.53*3</f>
        <v>211.79999999999998</v>
      </c>
      <c r="P451" s="38">
        <f>ROUND(0.04*548.5,0)*3.53*3</f>
        <v>232.98</v>
      </c>
      <c r="Q451" s="20">
        <f t="shared" si="14"/>
        <v>1633.23</v>
      </c>
    </row>
    <row r="452" spans="1:17" ht="12.75">
      <c r="A452" s="73">
        <f t="shared" si="13"/>
        <v>445</v>
      </c>
      <c r="B452" s="58" t="s">
        <v>613</v>
      </c>
      <c r="C452" s="62"/>
      <c r="D452" s="65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43">
        <f t="shared" si="14"/>
        <v>0</v>
      </c>
    </row>
    <row r="453" spans="1:17" ht="12.75">
      <c r="A453" s="73">
        <f t="shared" si="13"/>
        <v>446</v>
      </c>
      <c r="B453" s="59" t="s">
        <v>524</v>
      </c>
      <c r="C453" s="62">
        <v>12682</v>
      </c>
      <c r="D453" s="65">
        <v>0</v>
      </c>
      <c r="E453" s="91">
        <v>0</v>
      </c>
      <c r="F453" s="66">
        <v>0</v>
      </c>
      <c r="G453" s="66">
        <v>0</v>
      </c>
      <c r="H453" s="66">
        <v>0</v>
      </c>
      <c r="I453" s="66">
        <v>0</v>
      </c>
      <c r="J453" s="66">
        <v>0</v>
      </c>
      <c r="K453" s="66"/>
      <c r="L453" s="66"/>
      <c r="M453" s="66"/>
      <c r="N453" s="66"/>
      <c r="O453" s="66"/>
      <c r="P453" s="66"/>
      <c r="Q453" s="43">
        <f t="shared" si="14"/>
        <v>0</v>
      </c>
    </row>
    <row r="454" spans="1:17" ht="12.75">
      <c r="A454" s="73">
        <f t="shared" si="13"/>
        <v>447</v>
      </c>
      <c r="B454" s="53" t="s">
        <v>525</v>
      </c>
      <c r="C454" s="18">
        <v>12684</v>
      </c>
      <c r="D454" s="19" t="s">
        <v>584</v>
      </c>
      <c r="E454" s="67"/>
      <c r="F454" s="23"/>
      <c r="G454" s="23"/>
      <c r="H454" s="23"/>
      <c r="I454" s="23"/>
      <c r="J454" s="23"/>
      <c r="K454" s="38"/>
      <c r="L454" s="23"/>
      <c r="M454" s="23"/>
      <c r="N454" s="23"/>
      <c r="O454" s="23"/>
      <c r="P454" s="23"/>
      <c r="Q454" s="20">
        <f t="shared" si="14"/>
        <v>0</v>
      </c>
    </row>
    <row r="455" spans="1:17" ht="12.75">
      <c r="A455" s="73">
        <f t="shared" si="13"/>
        <v>448</v>
      </c>
      <c r="B455" s="58" t="s">
        <v>614</v>
      </c>
      <c r="C455" s="62"/>
      <c r="D455" s="65"/>
      <c r="E455" s="91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43">
        <f t="shared" si="14"/>
        <v>0</v>
      </c>
    </row>
    <row r="456" spans="1:17" ht="12.75">
      <c r="A456" s="73">
        <f t="shared" si="13"/>
        <v>449</v>
      </c>
      <c r="B456" s="59" t="s">
        <v>526</v>
      </c>
      <c r="C456" s="62">
        <v>12687</v>
      </c>
      <c r="D456" s="65">
        <v>4</v>
      </c>
      <c r="E456" s="66">
        <v>271.2</v>
      </c>
      <c r="F456" s="66">
        <v>216.96</v>
      </c>
      <c r="G456" s="66">
        <v>189.84</v>
      </c>
      <c r="H456" s="66">
        <v>135.6</v>
      </c>
      <c r="I456" s="66">
        <v>81.36</v>
      </c>
      <c r="J456" s="66">
        <v>54.24</v>
      </c>
      <c r="K456" s="66">
        <f>ROUND(0.04*143.25,0)*3.53*4</f>
        <v>84.72</v>
      </c>
      <c r="L456" s="66">
        <f>ROUND(0.04*235.08,0)*3.53*4</f>
        <v>127.08</v>
      </c>
      <c r="M456" s="66">
        <f>ROUND(0.04*314.17,0)*3.53*4</f>
        <v>183.56</v>
      </c>
      <c r="N456" s="66">
        <f>ROUND(0.04*430.83,0)*3.53*4</f>
        <v>240.04</v>
      </c>
      <c r="O456" s="66">
        <f>ROUND(0.04*492.08,0)*3.53*4</f>
        <v>282.4</v>
      </c>
      <c r="P456" s="66">
        <f>ROUND(0.04*548.5,0)*3.53*4</f>
        <v>310.64</v>
      </c>
      <c r="Q456" s="43">
        <f t="shared" si="14"/>
        <v>2177.64</v>
      </c>
    </row>
    <row r="457" spans="1:17" ht="12.75">
      <c r="A457" s="73">
        <f t="shared" si="13"/>
        <v>450</v>
      </c>
      <c r="B457" s="59" t="s">
        <v>527</v>
      </c>
      <c r="C457" s="62">
        <v>12690</v>
      </c>
      <c r="D457" s="65">
        <v>4</v>
      </c>
      <c r="E457" s="66">
        <v>271.2</v>
      </c>
      <c r="F457" s="66">
        <v>216.96</v>
      </c>
      <c r="G457" s="66">
        <v>189.84</v>
      </c>
      <c r="H457" s="66">
        <v>135.6</v>
      </c>
      <c r="I457" s="66">
        <v>81.36</v>
      </c>
      <c r="J457" s="66">
        <v>54.24</v>
      </c>
      <c r="K457" s="66">
        <f>ROUND(0.04*143.25,0)*3.53*4</f>
        <v>84.72</v>
      </c>
      <c r="L457" s="66">
        <f>ROUND(0.04*235.08,0)*3.53*4</f>
        <v>127.08</v>
      </c>
      <c r="M457" s="66">
        <f>ROUND(0.04*314.17,0)*3.53*4</f>
        <v>183.56</v>
      </c>
      <c r="N457" s="66">
        <f>ROUND(0.04*430.83,0)*3.53*4</f>
        <v>240.04</v>
      </c>
      <c r="O457" s="66">
        <f>ROUND(0.04*492.08,0)*3.53*4</f>
        <v>282.4</v>
      </c>
      <c r="P457" s="66">
        <f>ROUND(0.04*548.5,0)*3.53*4</f>
        <v>310.64</v>
      </c>
      <c r="Q457" s="43">
        <f t="shared" si="14"/>
        <v>2177.64</v>
      </c>
    </row>
    <row r="458" spans="1:17" ht="12.75">
      <c r="A458" s="73">
        <f t="shared" si="13"/>
        <v>451</v>
      </c>
      <c r="B458" s="59" t="s">
        <v>595</v>
      </c>
      <c r="C458" s="62"/>
      <c r="D458" s="65">
        <v>4</v>
      </c>
      <c r="E458" s="66">
        <v>271.2</v>
      </c>
      <c r="F458" s="66">
        <v>216.96</v>
      </c>
      <c r="G458" s="66">
        <v>189.84</v>
      </c>
      <c r="H458" s="66">
        <v>135.6</v>
      </c>
      <c r="I458" s="66">
        <v>81.36</v>
      </c>
      <c r="J458" s="66">
        <v>54.24</v>
      </c>
      <c r="K458" s="66">
        <f>ROUND(0.04*143.25,0)*3.53*4</f>
        <v>84.72</v>
      </c>
      <c r="L458" s="66">
        <f>ROUND(0.04*235.08,0)*3.53*4</f>
        <v>127.08</v>
      </c>
      <c r="M458" s="66"/>
      <c r="N458" s="66"/>
      <c r="O458" s="66"/>
      <c r="P458" s="66"/>
      <c r="Q458" s="43">
        <f t="shared" si="14"/>
        <v>1161</v>
      </c>
    </row>
    <row r="459" spans="1:17" ht="12.75">
      <c r="A459" s="73">
        <f t="shared" si="13"/>
        <v>452</v>
      </c>
      <c r="B459" s="58" t="s">
        <v>615</v>
      </c>
      <c r="C459" s="62"/>
      <c r="D459" s="65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43">
        <f t="shared" si="14"/>
        <v>0</v>
      </c>
    </row>
    <row r="460" spans="1:17" ht="12.75">
      <c r="A460" s="73">
        <f t="shared" si="13"/>
        <v>453</v>
      </c>
      <c r="B460" s="53" t="s">
        <v>528</v>
      </c>
      <c r="C460" s="18">
        <v>12697</v>
      </c>
      <c r="D460" s="19">
        <v>4</v>
      </c>
      <c r="E460" s="23">
        <v>271.2</v>
      </c>
      <c r="F460" s="23">
        <v>216.96</v>
      </c>
      <c r="G460" s="23">
        <v>189.84</v>
      </c>
      <c r="H460" s="23">
        <v>135.6</v>
      </c>
      <c r="I460" s="23">
        <v>81.36</v>
      </c>
      <c r="J460" s="23">
        <v>54.24</v>
      </c>
      <c r="K460" s="38">
        <f>ROUND(0.04*143.25,0)*3.53*4</f>
        <v>84.72</v>
      </c>
      <c r="L460" s="38">
        <f>ROUND(0.04*235.08,0)*3.53*4</f>
        <v>127.08</v>
      </c>
      <c r="M460" s="38">
        <f>ROUND(0.04*314.17,0)*3.53*4</f>
        <v>183.56</v>
      </c>
      <c r="N460" s="38">
        <f>ROUND(0.04*430.83,0)*3.53*4</f>
        <v>240.04</v>
      </c>
      <c r="O460" s="38">
        <f>ROUND(0.04*492.08,0)*3.53*4</f>
        <v>282.4</v>
      </c>
      <c r="P460" s="38">
        <f>ROUND(0.04*548.5,0)*3.53*4</f>
        <v>310.64</v>
      </c>
      <c r="Q460" s="20">
        <f t="shared" si="14"/>
        <v>2177.64</v>
      </c>
    </row>
    <row r="461" spans="1:17" ht="12.75">
      <c r="A461" s="73">
        <f aca="true" t="shared" si="15" ref="A461:A494">A460+1</f>
        <v>454</v>
      </c>
      <c r="B461" s="58" t="s">
        <v>616</v>
      </c>
      <c r="C461" s="62"/>
      <c r="D461" s="65">
        <v>0</v>
      </c>
      <c r="E461" s="91">
        <v>0</v>
      </c>
      <c r="F461" s="66">
        <v>0</v>
      </c>
      <c r="G461" s="66">
        <v>0</v>
      </c>
      <c r="H461" s="66">
        <v>0</v>
      </c>
      <c r="I461" s="66">
        <v>0</v>
      </c>
      <c r="J461" s="66">
        <v>0</v>
      </c>
      <c r="K461" s="66"/>
      <c r="L461" s="66"/>
      <c r="M461" s="66"/>
      <c r="N461" s="66"/>
      <c r="O461" s="66"/>
      <c r="P461" s="66"/>
      <c r="Q461" s="43">
        <f t="shared" si="14"/>
        <v>0</v>
      </c>
    </row>
    <row r="462" spans="1:17" ht="12.75">
      <c r="A462" s="73">
        <f t="shared" si="15"/>
        <v>455</v>
      </c>
      <c r="B462" s="53" t="s">
        <v>529</v>
      </c>
      <c r="C462" s="18">
        <v>12700</v>
      </c>
      <c r="D462" s="19" t="s">
        <v>584</v>
      </c>
      <c r="E462" s="67"/>
      <c r="F462" s="23"/>
      <c r="G462" s="23"/>
      <c r="H462" s="23"/>
      <c r="I462" s="23"/>
      <c r="J462" s="23"/>
      <c r="K462" s="38"/>
      <c r="L462" s="23"/>
      <c r="M462" s="23"/>
      <c r="N462" s="23"/>
      <c r="O462" s="23"/>
      <c r="P462" s="23"/>
      <c r="Q462" s="20">
        <f t="shared" si="14"/>
        <v>0</v>
      </c>
    </row>
    <row r="463" spans="1:17" ht="12.75">
      <c r="A463" s="73">
        <f t="shared" si="15"/>
        <v>456</v>
      </c>
      <c r="B463" s="59" t="s">
        <v>530</v>
      </c>
      <c r="C463" s="62">
        <v>12703</v>
      </c>
      <c r="D463" s="65">
        <v>4</v>
      </c>
      <c r="E463" s="66">
        <v>271.2</v>
      </c>
      <c r="F463" s="66">
        <v>216.96</v>
      </c>
      <c r="G463" s="66">
        <v>189.84</v>
      </c>
      <c r="H463" s="66">
        <v>135.6</v>
      </c>
      <c r="I463" s="66">
        <v>81.36</v>
      </c>
      <c r="J463" s="66">
        <v>54.24</v>
      </c>
      <c r="K463" s="66">
        <f>ROUND(0.04*143.25,0)*3.53*4</f>
        <v>84.72</v>
      </c>
      <c r="L463" s="66">
        <f>ROUND(0.04*235.08,0)*3.53*4</f>
        <v>127.08</v>
      </c>
      <c r="M463" s="66">
        <f>ROUND(0.04*314.17,0)*3.53*4</f>
        <v>183.56</v>
      </c>
      <c r="N463" s="66">
        <f>ROUND(0.04*430.83,0)*3.53*4</f>
        <v>240.04</v>
      </c>
      <c r="O463" s="66">
        <f>ROUND(0.04*492.08,0)*3.53*4</f>
        <v>282.4</v>
      </c>
      <c r="P463" s="66">
        <f>ROUND(0.04*548.5,0)*3.53*4</f>
        <v>310.64</v>
      </c>
      <c r="Q463" s="43">
        <f t="shared" si="14"/>
        <v>2177.64</v>
      </c>
    </row>
    <row r="464" spans="1:17" ht="12.75">
      <c r="A464" s="73">
        <f t="shared" si="15"/>
        <v>457</v>
      </c>
      <c r="B464" s="53" t="s">
        <v>531</v>
      </c>
      <c r="C464" s="18">
        <v>12704</v>
      </c>
      <c r="D464" s="19">
        <v>4</v>
      </c>
      <c r="E464" s="23">
        <v>271.2</v>
      </c>
      <c r="F464" s="23">
        <v>216.96</v>
      </c>
      <c r="G464" s="23">
        <v>189.84</v>
      </c>
      <c r="H464" s="23">
        <v>135.6</v>
      </c>
      <c r="I464" s="23">
        <v>81.36</v>
      </c>
      <c r="J464" s="23">
        <v>54.24</v>
      </c>
      <c r="K464" s="38">
        <f>ROUND(0.04*143.25,0)*3.53*4</f>
        <v>84.72</v>
      </c>
      <c r="L464" s="38">
        <f>ROUND(0.04*235.08,0)*3.53*4</f>
        <v>127.08</v>
      </c>
      <c r="M464" s="38">
        <f>ROUND(0.04*314.17,0)*3.53*4</f>
        <v>183.56</v>
      </c>
      <c r="N464" s="38">
        <f>ROUND(0.04*430.83,0)*3.53*4</f>
        <v>240.04</v>
      </c>
      <c r="O464" s="38">
        <f>ROUND(0.04*492.08,0)*3.53*4</f>
        <v>282.4</v>
      </c>
      <c r="P464" s="38">
        <f>ROUND(0.04*548.5,0)*3.53*4</f>
        <v>310.64</v>
      </c>
      <c r="Q464" s="20">
        <f t="shared" si="14"/>
        <v>2177.64</v>
      </c>
    </row>
    <row r="465" spans="1:231" s="44" customFormat="1" ht="12.75">
      <c r="A465" s="73">
        <f t="shared" si="15"/>
        <v>458</v>
      </c>
      <c r="B465" s="53" t="s">
        <v>532</v>
      </c>
      <c r="C465" s="18">
        <v>12676</v>
      </c>
      <c r="D465" s="19">
        <v>4</v>
      </c>
      <c r="E465" s="23">
        <v>271.2</v>
      </c>
      <c r="F465" s="23">
        <v>216.96</v>
      </c>
      <c r="G465" s="23">
        <v>189.84</v>
      </c>
      <c r="H465" s="23">
        <v>135.6</v>
      </c>
      <c r="I465" s="23">
        <v>81.36</v>
      </c>
      <c r="J465" s="23">
        <v>54.24</v>
      </c>
      <c r="K465" s="38">
        <f>ROUND(0.04*143.25,0)*3.53*4</f>
        <v>84.72</v>
      </c>
      <c r="L465" s="38">
        <f>ROUND(0.04*235.08,0)*3.53*4</f>
        <v>127.08</v>
      </c>
      <c r="M465" s="38">
        <f>ROUND(0.04*314.17,0)*3.53*4</f>
        <v>183.56</v>
      </c>
      <c r="N465" s="38">
        <f>ROUND(0.04*430.83,0)*3.53*4</f>
        <v>240.04</v>
      </c>
      <c r="O465" s="38">
        <f>ROUND(0.04*492.08,0)*3.53*4</f>
        <v>282.4</v>
      </c>
      <c r="P465" s="38">
        <f>ROUND(0.04*548.5,0)*3.53*4</f>
        <v>310.64</v>
      </c>
      <c r="Q465" s="20">
        <f t="shared" si="14"/>
        <v>2177.64</v>
      </c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</row>
    <row r="466" spans="1:17" ht="12.75">
      <c r="A466" s="73">
        <f t="shared" si="15"/>
        <v>459</v>
      </c>
      <c r="B466" s="53" t="s">
        <v>533</v>
      </c>
      <c r="C466" s="18">
        <v>12677</v>
      </c>
      <c r="D466" s="19">
        <v>4</v>
      </c>
      <c r="E466" s="23">
        <v>271.2</v>
      </c>
      <c r="F466" s="23">
        <v>216.96</v>
      </c>
      <c r="G466" s="23">
        <v>189.84</v>
      </c>
      <c r="H466" s="23">
        <v>135.6</v>
      </c>
      <c r="I466" s="23">
        <v>81.36</v>
      </c>
      <c r="J466" s="23">
        <v>54.24</v>
      </c>
      <c r="K466" s="38">
        <f>ROUND(0.04*143.25,0)*3.53*4</f>
        <v>84.72</v>
      </c>
      <c r="L466" s="38">
        <f>ROUND(0.04*235.08,0)*3.53*4</f>
        <v>127.08</v>
      </c>
      <c r="M466" s="38">
        <f>ROUND(0.04*314.17,0)*3.53*4</f>
        <v>183.56</v>
      </c>
      <c r="N466" s="38">
        <f>ROUND(0.04*430.83,0)*3.53*4</f>
        <v>240.04</v>
      </c>
      <c r="O466" s="38">
        <f>ROUND(0.04*492.08,0)*3.53*4</f>
        <v>282.4</v>
      </c>
      <c r="P466" s="38">
        <f>ROUND(0.04*548.5,0)*3.53*4</f>
        <v>310.64</v>
      </c>
      <c r="Q466" s="20">
        <f t="shared" si="14"/>
        <v>2177.64</v>
      </c>
    </row>
    <row r="467" spans="1:17" ht="12.75">
      <c r="A467" s="73">
        <f t="shared" si="15"/>
        <v>460</v>
      </c>
      <c r="B467" s="53" t="s">
        <v>534</v>
      </c>
      <c r="C467" s="18">
        <v>21861</v>
      </c>
      <c r="D467" s="19" t="s">
        <v>585</v>
      </c>
      <c r="E467" s="23">
        <v>0</v>
      </c>
      <c r="F467" s="23">
        <v>0</v>
      </c>
      <c r="G467" s="23">
        <v>0</v>
      </c>
      <c r="H467" s="23">
        <v>0</v>
      </c>
      <c r="I467" s="23"/>
      <c r="J467" s="23">
        <v>0</v>
      </c>
      <c r="K467" s="38">
        <v>0</v>
      </c>
      <c r="L467" s="23"/>
      <c r="M467" s="23"/>
      <c r="N467" s="23"/>
      <c r="O467" s="23"/>
      <c r="P467" s="23"/>
      <c r="Q467" s="20">
        <f t="shared" si="14"/>
        <v>0</v>
      </c>
    </row>
    <row r="468" spans="1:17" ht="12.75">
      <c r="A468" s="73">
        <f t="shared" si="15"/>
        <v>461</v>
      </c>
      <c r="B468" s="53" t="s">
        <v>535</v>
      </c>
      <c r="C468" s="18">
        <v>21862</v>
      </c>
      <c r="D468" s="19" t="s">
        <v>585</v>
      </c>
      <c r="E468" s="23">
        <v>371.02</v>
      </c>
      <c r="F468" s="23">
        <v>320.39</v>
      </c>
      <c r="G468" s="23">
        <v>738.95</v>
      </c>
      <c r="H468" s="23">
        <v>187.54</v>
      </c>
      <c r="I468" s="23">
        <v>15.06</v>
      </c>
      <c r="J468" s="23">
        <v>19.18</v>
      </c>
      <c r="K468" s="38">
        <v>5.69</v>
      </c>
      <c r="L468" s="23">
        <v>2.14</v>
      </c>
      <c r="M468" s="23">
        <v>9.97</v>
      </c>
      <c r="N468" s="23">
        <v>5.69</v>
      </c>
      <c r="O468" s="23">
        <v>46.93</v>
      </c>
      <c r="P468" s="23">
        <v>40.51</v>
      </c>
      <c r="Q468" s="20">
        <f t="shared" si="14"/>
        <v>1763.0700000000004</v>
      </c>
    </row>
    <row r="469" spans="1:17" ht="12.75">
      <c r="A469" s="73">
        <f t="shared" si="15"/>
        <v>462</v>
      </c>
      <c r="B469" s="53" t="s">
        <v>536</v>
      </c>
      <c r="C469" s="18">
        <v>21863</v>
      </c>
      <c r="D469" s="19" t="s">
        <v>585</v>
      </c>
      <c r="E469" s="23">
        <v>3.39</v>
      </c>
      <c r="F469" s="23">
        <v>3.39</v>
      </c>
      <c r="G469" s="23">
        <v>135.6</v>
      </c>
      <c r="H469" s="23">
        <v>81.36</v>
      </c>
      <c r="I469" s="23">
        <v>44.07</v>
      </c>
      <c r="J469" s="23">
        <v>16.95</v>
      </c>
      <c r="K469" s="38">
        <v>45.89</v>
      </c>
      <c r="L469" s="23">
        <v>77.66</v>
      </c>
      <c r="M469" s="23">
        <v>151.79</v>
      </c>
      <c r="N469" s="23">
        <v>141.2</v>
      </c>
      <c r="O469" s="23">
        <v>222.39</v>
      </c>
      <c r="P469" s="23">
        <v>353</v>
      </c>
      <c r="Q469" s="20">
        <f t="shared" si="14"/>
        <v>1276.69</v>
      </c>
    </row>
    <row r="470" spans="1:17" ht="12.75">
      <c r="A470" s="73">
        <f t="shared" si="15"/>
        <v>463</v>
      </c>
      <c r="B470" s="53" t="s">
        <v>537</v>
      </c>
      <c r="C470" s="18">
        <v>21865</v>
      </c>
      <c r="D470" s="19" t="s">
        <v>592</v>
      </c>
      <c r="E470" s="23">
        <v>111.87</v>
      </c>
      <c r="F470" s="23">
        <v>88.14</v>
      </c>
      <c r="G470" s="23">
        <v>77.97</v>
      </c>
      <c r="H470" s="23">
        <v>54.24</v>
      </c>
      <c r="I470" s="23">
        <v>33.9</v>
      </c>
      <c r="J470" s="23">
        <v>20.34</v>
      </c>
      <c r="K470" s="38">
        <f>ROUND(0.025*143.25,0)*3.53*2+14.12</f>
        <v>42.36</v>
      </c>
      <c r="L470" s="38">
        <f>ROUND(0.04*235.08,0)*3.53*2</f>
        <v>63.54</v>
      </c>
      <c r="M470" s="38">
        <f>ROUND(0.04*314.17,0)*3.53*2</f>
        <v>91.78</v>
      </c>
      <c r="N470" s="38">
        <f>ROUND(0.04*430.83,0)*3.53*2</f>
        <v>120.02</v>
      </c>
      <c r="O470" s="38">
        <f>ROUND(0.04*492.08,0)*3.53*2</f>
        <v>141.2</v>
      </c>
      <c r="P470" s="38">
        <f>ROUND(0.04*548.5,0)*3.53*2</f>
        <v>155.32</v>
      </c>
      <c r="Q470" s="20">
        <f t="shared" si="14"/>
        <v>1000.6799999999998</v>
      </c>
    </row>
    <row r="471" spans="1:17" ht="12.75">
      <c r="A471" s="73">
        <f t="shared" si="15"/>
        <v>464</v>
      </c>
      <c r="B471" s="53" t="s">
        <v>538</v>
      </c>
      <c r="C471" s="18">
        <v>22176</v>
      </c>
      <c r="D471" s="19">
        <v>3</v>
      </c>
      <c r="E471" s="23">
        <v>203.4</v>
      </c>
      <c r="F471" s="23">
        <v>162.72</v>
      </c>
      <c r="G471" s="23">
        <v>142.38</v>
      </c>
      <c r="H471" s="23">
        <v>101.7</v>
      </c>
      <c r="I471" s="23">
        <v>61.02</v>
      </c>
      <c r="J471" s="23">
        <v>40.68</v>
      </c>
      <c r="K471" s="38">
        <f>ROUND(0.04*143.25,0)*3.53*3</f>
        <v>63.54</v>
      </c>
      <c r="L471" s="38">
        <f>ROUND(0.04*235.08,0)*3.53*3</f>
        <v>95.31</v>
      </c>
      <c r="M471" s="38">
        <f>ROUND(0.04*314.17,0)*3.53*3</f>
        <v>137.67000000000002</v>
      </c>
      <c r="N471" s="38">
        <f>ROUND(0.04*430.83,0)*3.53*3</f>
        <v>180.03</v>
      </c>
      <c r="O471" s="38">
        <f>ROUND(0.04*492.08,0)*3.53*3</f>
        <v>211.79999999999998</v>
      </c>
      <c r="P471" s="38">
        <f>ROUND(0.04*548.5,0)*3.53*3</f>
        <v>232.98</v>
      </c>
      <c r="Q471" s="20">
        <f t="shared" si="14"/>
        <v>1633.23</v>
      </c>
    </row>
    <row r="472" spans="1:17" ht="12.75">
      <c r="A472" s="73">
        <f t="shared" si="15"/>
        <v>465</v>
      </c>
      <c r="B472" s="53" t="s">
        <v>539</v>
      </c>
      <c r="C472" s="18">
        <v>22184</v>
      </c>
      <c r="D472" s="19">
        <v>4</v>
      </c>
      <c r="E472" s="23">
        <v>271.2</v>
      </c>
      <c r="F472" s="23">
        <v>216.96</v>
      </c>
      <c r="G472" s="23">
        <v>189.84</v>
      </c>
      <c r="H472" s="23">
        <v>135.6</v>
      </c>
      <c r="I472" s="23">
        <v>81.36</v>
      </c>
      <c r="J472" s="23">
        <v>54.24</v>
      </c>
      <c r="K472" s="38">
        <f>ROUND(0.04*143.25,0)*3.53*4</f>
        <v>84.72</v>
      </c>
      <c r="L472" s="38">
        <f>ROUND(0.04*235.08,0)*3.53*4</f>
        <v>127.08</v>
      </c>
      <c r="M472" s="38">
        <f>ROUND(0.04*314.17,0)*3.53*4</f>
        <v>183.56</v>
      </c>
      <c r="N472" s="38">
        <f>ROUND(0.04*430.83,0)*3.53*4</f>
        <v>240.04</v>
      </c>
      <c r="O472" s="38">
        <f>ROUND(0.04*492.08,0)*3.53*4</f>
        <v>282.4</v>
      </c>
      <c r="P472" s="38">
        <f>ROUND(0.04*548.5,0)*3.53*4</f>
        <v>310.64</v>
      </c>
      <c r="Q472" s="20">
        <f t="shared" si="14"/>
        <v>2177.64</v>
      </c>
    </row>
    <row r="473" spans="1:17" ht="12.75">
      <c r="A473" s="73">
        <f t="shared" si="15"/>
        <v>466</v>
      </c>
      <c r="B473" s="53" t="s">
        <v>540</v>
      </c>
      <c r="C473" s="18">
        <v>22177</v>
      </c>
      <c r="D473" s="19">
        <v>4</v>
      </c>
      <c r="E473" s="23">
        <v>271.2</v>
      </c>
      <c r="F473" s="23">
        <v>216.96</v>
      </c>
      <c r="G473" s="23">
        <v>189.84</v>
      </c>
      <c r="H473" s="23">
        <v>135.6</v>
      </c>
      <c r="I473" s="23">
        <v>81.36</v>
      </c>
      <c r="J473" s="23">
        <v>54.24</v>
      </c>
      <c r="K473" s="38">
        <f>ROUND(0.04*143.25,0)*3.53*4</f>
        <v>84.72</v>
      </c>
      <c r="L473" s="38">
        <f>ROUND(0.04*235.08,0)*3.53*4</f>
        <v>127.08</v>
      </c>
      <c r="M473" s="38">
        <f>ROUND(0.04*314.17,0)*3.53*4</f>
        <v>183.56</v>
      </c>
      <c r="N473" s="38">
        <f>ROUND(0.04*430.83,0)*3.53*4</f>
        <v>240.04</v>
      </c>
      <c r="O473" s="38">
        <f>ROUND(0.04*492.08,0)*3.53*4</f>
        <v>282.4</v>
      </c>
      <c r="P473" s="38">
        <f>ROUND(0.04*548.5,0)*3.53*4</f>
        <v>310.64</v>
      </c>
      <c r="Q473" s="20">
        <f t="shared" si="14"/>
        <v>2177.64</v>
      </c>
    </row>
    <row r="474" spans="1:17" ht="12.75">
      <c r="A474" s="73">
        <f t="shared" si="15"/>
        <v>467</v>
      </c>
      <c r="B474" s="53" t="s">
        <v>541</v>
      </c>
      <c r="C474" s="18">
        <v>22186</v>
      </c>
      <c r="D474" s="19">
        <v>3</v>
      </c>
      <c r="E474" s="23">
        <v>203.4</v>
      </c>
      <c r="F474" s="23">
        <v>162.72</v>
      </c>
      <c r="G474" s="23">
        <v>142.38</v>
      </c>
      <c r="H474" s="23">
        <v>101.7</v>
      </c>
      <c r="I474" s="23">
        <v>61.02</v>
      </c>
      <c r="J474" s="23">
        <v>40.68</v>
      </c>
      <c r="K474" s="38">
        <f>ROUND(0.04*143.25,0)*3.53*3</f>
        <v>63.54</v>
      </c>
      <c r="L474" s="38">
        <f>ROUND(0.04*235.08,0)*3.53*3</f>
        <v>95.31</v>
      </c>
      <c r="M474" s="38">
        <f>ROUND(0.04*314.17,0)*3.53*3</f>
        <v>137.67000000000002</v>
      </c>
      <c r="N474" s="38">
        <f>ROUND(0.04*430.83,0)*3.53*3</f>
        <v>180.03</v>
      </c>
      <c r="O474" s="38">
        <f>ROUND(0.04*492.08,0)*3.53*3</f>
        <v>211.79999999999998</v>
      </c>
      <c r="P474" s="38">
        <f>ROUND(0.04*548.5,0)*3.53*3</f>
        <v>232.98</v>
      </c>
      <c r="Q474" s="20">
        <f t="shared" si="14"/>
        <v>1633.23</v>
      </c>
    </row>
    <row r="475" spans="1:17" ht="12.75">
      <c r="A475" s="73">
        <f t="shared" si="15"/>
        <v>468</v>
      </c>
      <c r="B475" s="53" t="s">
        <v>542</v>
      </c>
      <c r="C475" s="18">
        <v>22187</v>
      </c>
      <c r="D475" s="19">
        <v>4</v>
      </c>
      <c r="E475" s="23">
        <v>271.2</v>
      </c>
      <c r="F475" s="23">
        <v>216.96</v>
      </c>
      <c r="G475" s="23">
        <v>189.84</v>
      </c>
      <c r="H475" s="23">
        <v>135.6</v>
      </c>
      <c r="I475" s="23">
        <v>81.36</v>
      </c>
      <c r="J475" s="23">
        <v>54.24</v>
      </c>
      <c r="K475" s="38">
        <f>ROUND(0.04*143.25,0)*3.53*4</f>
        <v>84.72</v>
      </c>
      <c r="L475" s="38">
        <f>ROUND(0.04*235.08,0)*3.53*4</f>
        <v>127.08</v>
      </c>
      <c r="M475" s="38">
        <f>ROUND(0.04*314.17,0)*3.53*4</f>
        <v>183.56</v>
      </c>
      <c r="N475" s="38">
        <f>ROUND(0.04*430.83,0)*3.53*4</f>
        <v>240.04</v>
      </c>
      <c r="O475" s="38">
        <f>ROUND(0.04*492.08,0)*3.53*4</f>
        <v>282.4</v>
      </c>
      <c r="P475" s="38">
        <f>ROUND(0.04*548.5,0)*3.53*4</f>
        <v>310.64</v>
      </c>
      <c r="Q475" s="20">
        <f t="shared" si="14"/>
        <v>2177.64</v>
      </c>
    </row>
    <row r="476" spans="1:17" ht="12.75">
      <c r="A476" s="73">
        <f t="shared" si="15"/>
        <v>469</v>
      </c>
      <c r="B476" s="53" t="s">
        <v>543</v>
      </c>
      <c r="C476" s="18">
        <v>22179</v>
      </c>
      <c r="D476" s="19">
        <v>3</v>
      </c>
      <c r="E476" s="23">
        <v>203.4</v>
      </c>
      <c r="F476" s="23">
        <v>162.72</v>
      </c>
      <c r="G476" s="23">
        <v>142.38</v>
      </c>
      <c r="H476" s="23">
        <v>101.7</v>
      </c>
      <c r="I476" s="23">
        <v>61.02</v>
      </c>
      <c r="J476" s="23">
        <v>40.68</v>
      </c>
      <c r="K476" s="38">
        <f>ROUND(0.04*143.25,0)*3.53*3</f>
        <v>63.54</v>
      </c>
      <c r="L476" s="38">
        <f>ROUND(0.04*235.08,0)*3.53*3</f>
        <v>95.31</v>
      </c>
      <c r="M476" s="38">
        <f>ROUND(0.04*314.17,0)*3.53*3</f>
        <v>137.67000000000002</v>
      </c>
      <c r="N476" s="38">
        <f>ROUND(0.04*430.83,0)*3.53*3</f>
        <v>180.03</v>
      </c>
      <c r="O476" s="38">
        <f>ROUND(0.04*492.08,0)*3.53*3</f>
        <v>211.79999999999998</v>
      </c>
      <c r="P476" s="38">
        <f>ROUND(0.04*548.5,0)*3.53*3</f>
        <v>232.98</v>
      </c>
      <c r="Q476" s="20">
        <f t="shared" si="14"/>
        <v>1633.23</v>
      </c>
    </row>
    <row r="477" spans="1:17" ht="12.75">
      <c r="A477" s="73">
        <f t="shared" si="15"/>
        <v>470</v>
      </c>
      <c r="B477" s="53" t="s">
        <v>544</v>
      </c>
      <c r="C477" s="18">
        <v>22180</v>
      </c>
      <c r="D477" s="19">
        <v>3</v>
      </c>
      <c r="E477" s="23">
        <v>203.4</v>
      </c>
      <c r="F477" s="23">
        <v>162.72</v>
      </c>
      <c r="G477" s="23">
        <v>142.38</v>
      </c>
      <c r="H477" s="23">
        <v>101.7</v>
      </c>
      <c r="I477" s="23">
        <v>61.02</v>
      </c>
      <c r="J477" s="23">
        <v>40.68</v>
      </c>
      <c r="K477" s="38">
        <f>ROUND(0.04*143.25,0)*3.53*3</f>
        <v>63.54</v>
      </c>
      <c r="L477" s="38">
        <f>ROUND(0.04*235.08,0)*3.53*3</f>
        <v>95.31</v>
      </c>
      <c r="M477" s="38">
        <f>ROUND(0.04*314.17,0)*3.53*3</f>
        <v>137.67000000000002</v>
      </c>
      <c r="N477" s="38">
        <f>ROUND(0.04*430.83,0)*3.53*3</f>
        <v>180.03</v>
      </c>
      <c r="O477" s="38">
        <f>ROUND(0.04*492.08,0)*3.53*3</f>
        <v>211.79999999999998</v>
      </c>
      <c r="P477" s="38">
        <f>ROUND(0.04*548.5,0)*3.53*3</f>
        <v>232.98</v>
      </c>
      <c r="Q477" s="20">
        <f t="shared" si="14"/>
        <v>1633.23</v>
      </c>
    </row>
    <row r="478" spans="1:17" ht="12.75">
      <c r="A478" s="73">
        <f t="shared" si="15"/>
        <v>471</v>
      </c>
      <c r="B478" s="53" t="s">
        <v>545</v>
      </c>
      <c r="C478" s="18">
        <v>22181</v>
      </c>
      <c r="D478" s="19">
        <v>3</v>
      </c>
      <c r="E478" s="23">
        <v>203.4</v>
      </c>
      <c r="F478" s="23">
        <v>162.72</v>
      </c>
      <c r="G478" s="23">
        <v>142.38</v>
      </c>
      <c r="H478" s="23">
        <v>101.7</v>
      </c>
      <c r="I478" s="23">
        <v>61.02</v>
      </c>
      <c r="J478" s="23">
        <v>40.68</v>
      </c>
      <c r="K478" s="38">
        <f>ROUND(0.04*143.25,0)*3.53*3</f>
        <v>63.54</v>
      </c>
      <c r="L478" s="38">
        <f>ROUND(0.04*235.08,0)*3.53*3</f>
        <v>95.31</v>
      </c>
      <c r="M478" s="38">
        <f>ROUND(0.04*314.17,0)*3.53*3</f>
        <v>137.67000000000002</v>
      </c>
      <c r="N478" s="38">
        <f>ROUND(0.04*430.83,0)*3.53*3</f>
        <v>180.03</v>
      </c>
      <c r="O478" s="38">
        <f>ROUND(0.04*492.08,0)*3.53*3</f>
        <v>211.79999999999998</v>
      </c>
      <c r="P478" s="38">
        <f>ROUND(0.04*548.5,0)*3.53*3</f>
        <v>232.98</v>
      </c>
      <c r="Q478" s="20">
        <f t="shared" si="14"/>
        <v>1633.23</v>
      </c>
    </row>
    <row r="479" spans="1:17" ht="12.75">
      <c r="A479" s="73">
        <f t="shared" si="15"/>
        <v>472</v>
      </c>
      <c r="B479" s="53" t="s">
        <v>546</v>
      </c>
      <c r="C479" s="18">
        <v>22182</v>
      </c>
      <c r="D479" s="19">
        <v>3</v>
      </c>
      <c r="E479" s="23">
        <v>203.4</v>
      </c>
      <c r="F479" s="23">
        <v>162.72</v>
      </c>
      <c r="G479" s="23">
        <v>142.38</v>
      </c>
      <c r="H479" s="23">
        <v>101.7</v>
      </c>
      <c r="I479" s="23">
        <v>61.02</v>
      </c>
      <c r="J479" s="23">
        <v>40.68</v>
      </c>
      <c r="K479" s="38">
        <f>ROUND(0.04*143.25,0)*3.53*3</f>
        <v>63.54</v>
      </c>
      <c r="L479" s="38">
        <f>ROUND(0.04*235.08,0)*3.53*3</f>
        <v>95.31</v>
      </c>
      <c r="M479" s="38">
        <f>ROUND(0.04*314.17,0)*3.53*3</f>
        <v>137.67000000000002</v>
      </c>
      <c r="N479" s="38">
        <f>ROUND(0.04*430.83,0)*3.53*3</f>
        <v>180.03</v>
      </c>
      <c r="O479" s="38">
        <f>ROUND(0.04*492.08,0)*3.53*3</f>
        <v>211.79999999999998</v>
      </c>
      <c r="P479" s="38">
        <f>ROUND(0.04*548.5,0)*3.53*3</f>
        <v>232.98</v>
      </c>
      <c r="Q479" s="20">
        <f t="shared" si="14"/>
        <v>1633.23</v>
      </c>
    </row>
    <row r="480" spans="1:17" ht="12.75">
      <c r="A480" s="73">
        <f t="shared" si="15"/>
        <v>473</v>
      </c>
      <c r="B480" s="53" t="s">
        <v>547</v>
      </c>
      <c r="C480" s="18">
        <v>22183</v>
      </c>
      <c r="D480" s="19">
        <v>3</v>
      </c>
      <c r="E480" s="23">
        <v>203.4</v>
      </c>
      <c r="F480" s="23">
        <v>162.72</v>
      </c>
      <c r="G480" s="23">
        <v>142.38</v>
      </c>
      <c r="H480" s="23">
        <v>101.7</v>
      </c>
      <c r="I480" s="23">
        <v>61.02</v>
      </c>
      <c r="J480" s="23">
        <v>40.68</v>
      </c>
      <c r="K480" s="38">
        <f>ROUND(0.04*143.25,0)*3.53*3</f>
        <v>63.54</v>
      </c>
      <c r="L480" s="38">
        <f>ROUND(0.04*235.08,0)*3.53*3</f>
        <v>95.31</v>
      </c>
      <c r="M480" s="38">
        <f>ROUND(0.04*314.17,0)*3.53*3</f>
        <v>137.67000000000002</v>
      </c>
      <c r="N480" s="38">
        <f>ROUND(0.04*430.83,0)*3.53*3</f>
        <v>180.03</v>
      </c>
      <c r="O480" s="38">
        <f>ROUND(0.04*492.08,0)*3.53*3</f>
        <v>211.79999999999998</v>
      </c>
      <c r="P480" s="38">
        <f>ROUND(0.04*548.5,0)*3.53*3</f>
        <v>232.98</v>
      </c>
      <c r="Q480" s="20">
        <f t="shared" si="14"/>
        <v>1633.23</v>
      </c>
    </row>
    <row r="481" spans="1:17" ht="12.75">
      <c r="A481" s="73">
        <f t="shared" si="15"/>
        <v>474</v>
      </c>
      <c r="B481" s="53" t="s">
        <v>548</v>
      </c>
      <c r="C481" s="18">
        <v>22174</v>
      </c>
      <c r="D481" s="19">
        <v>27</v>
      </c>
      <c r="E481" s="23">
        <v>1830.6</v>
      </c>
      <c r="F481" s="23">
        <v>1464.48</v>
      </c>
      <c r="G481" s="23">
        <v>1281.42</v>
      </c>
      <c r="H481" s="23">
        <v>915.3</v>
      </c>
      <c r="I481" s="23">
        <v>549.18</v>
      </c>
      <c r="J481" s="23">
        <v>366.12</v>
      </c>
      <c r="K481" s="38">
        <f>ROUND(0.04*143.25,0)*3.53*27</f>
        <v>571.86</v>
      </c>
      <c r="L481" s="38">
        <f>ROUND(0.04*235.08,0)*3.53*27</f>
        <v>857.79</v>
      </c>
      <c r="M481" s="38">
        <f>ROUND(0.04*314.17,0)*3.53*27</f>
        <v>1239.03</v>
      </c>
      <c r="N481" s="38">
        <f>ROUND(0.04*430.83,0)*3.53*27</f>
        <v>1620.27</v>
      </c>
      <c r="O481" s="38">
        <f>ROUND(0.04*492.08,0)*3.53*27</f>
        <v>1906.1999999999998</v>
      </c>
      <c r="P481" s="38">
        <f>ROUND(0.04*548.5,0)*3.53*27</f>
        <v>2096.8199999999997</v>
      </c>
      <c r="Q481" s="20">
        <f t="shared" si="14"/>
        <v>14699.07</v>
      </c>
    </row>
    <row r="482" spans="1:17" ht="12.75">
      <c r="A482" s="73">
        <f t="shared" si="15"/>
        <v>475</v>
      </c>
      <c r="B482" s="53" t="s">
        <v>549</v>
      </c>
      <c r="C482" s="18">
        <v>22175</v>
      </c>
      <c r="D482" s="19" t="s">
        <v>593</v>
      </c>
      <c r="E482" s="23">
        <v>203.4</v>
      </c>
      <c r="F482" s="23">
        <v>162.72</v>
      </c>
      <c r="G482" s="23">
        <v>142.38</v>
      </c>
      <c r="H482" s="23">
        <v>101.7</v>
      </c>
      <c r="I482" s="23">
        <v>61.02</v>
      </c>
      <c r="J482" s="23">
        <v>40.68</v>
      </c>
      <c r="K482" s="38">
        <f>ROUND(0.04*143.25,0)*3.53*3</f>
        <v>63.54</v>
      </c>
      <c r="L482" s="38">
        <f>ROUND(0.04*235.08,0)*3.53*3</f>
        <v>95.31</v>
      </c>
      <c r="M482" s="38">
        <f>ROUND(0.04*314.17,0)*3.53*3</f>
        <v>137.67000000000002</v>
      </c>
      <c r="N482" s="38">
        <f>ROUND(0.04*430.83,0)*3.53*3</f>
        <v>180.03</v>
      </c>
      <c r="O482" s="38">
        <f>ROUND(0.04*492.08,0)*3.53*3</f>
        <v>211.79999999999998</v>
      </c>
      <c r="P482" s="38">
        <f>ROUND(0.04*548.5,0)*3.53*3</f>
        <v>232.98</v>
      </c>
      <c r="Q482" s="20">
        <f t="shared" si="14"/>
        <v>1633.23</v>
      </c>
    </row>
    <row r="483" spans="1:17" ht="12.75">
      <c r="A483" s="73">
        <f t="shared" si="15"/>
        <v>476</v>
      </c>
      <c r="B483" s="53" t="s">
        <v>550</v>
      </c>
      <c r="C483" s="18">
        <v>12163</v>
      </c>
      <c r="D483" s="19">
        <v>3</v>
      </c>
      <c r="E483" s="23">
        <v>203.4</v>
      </c>
      <c r="F483" s="23">
        <v>162.72</v>
      </c>
      <c r="G483" s="23">
        <v>142.38</v>
      </c>
      <c r="H483" s="23">
        <v>101.7</v>
      </c>
      <c r="I483" s="23">
        <v>61.02</v>
      </c>
      <c r="J483" s="23">
        <v>40.68</v>
      </c>
      <c r="K483" s="38">
        <f>ROUND(0.04*143.25,0)*3.53*3</f>
        <v>63.54</v>
      </c>
      <c r="L483" s="38">
        <f>ROUND(0.04*235.08,0)*3.53*3</f>
        <v>95.31</v>
      </c>
      <c r="M483" s="38">
        <f>ROUND(0.04*314.17,0)*3.53*3</f>
        <v>137.67000000000002</v>
      </c>
      <c r="N483" s="38">
        <f>ROUND(0.04*430.83,0)*3.53*3</f>
        <v>180.03</v>
      </c>
      <c r="O483" s="38">
        <f>ROUND(0.04*492.08,0)*3.53*3</f>
        <v>211.79999999999998</v>
      </c>
      <c r="P483" s="38">
        <f>ROUND(0.04*548.5,0)*3.53*3</f>
        <v>232.98</v>
      </c>
      <c r="Q483" s="20">
        <f t="shared" si="14"/>
        <v>1633.23</v>
      </c>
    </row>
    <row r="484" spans="1:17" ht="12.75">
      <c r="A484" s="73">
        <f t="shared" si="15"/>
        <v>477</v>
      </c>
      <c r="B484" s="58" t="s">
        <v>617</v>
      </c>
      <c r="C484" s="62"/>
      <c r="D484" s="227">
        <v>3</v>
      </c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43">
        <f t="shared" si="14"/>
        <v>0</v>
      </c>
    </row>
    <row r="485" spans="1:17" ht="12.75">
      <c r="A485" s="73">
        <f t="shared" si="15"/>
        <v>478</v>
      </c>
      <c r="B485" s="59" t="s">
        <v>551</v>
      </c>
      <c r="C485" s="62">
        <v>12157</v>
      </c>
      <c r="D485" s="65">
        <v>3</v>
      </c>
      <c r="E485" s="66">
        <v>203.4</v>
      </c>
      <c r="F485" s="66">
        <v>162.72</v>
      </c>
      <c r="G485" s="66">
        <v>142.38</v>
      </c>
      <c r="H485" s="66">
        <v>101.7</v>
      </c>
      <c r="I485" s="66">
        <v>61.02</v>
      </c>
      <c r="J485" s="66">
        <v>40.68</v>
      </c>
      <c r="K485" s="66">
        <f>ROUND(0.04*143.25,0)*3.53*3</f>
        <v>63.54</v>
      </c>
      <c r="L485" s="66">
        <f>ROUND(0.04*235.08,0)*3.53*3</f>
        <v>95.31</v>
      </c>
      <c r="M485" s="66">
        <f>ROUND(0.04*314.17,0)*3.53*3</f>
        <v>137.67000000000002</v>
      </c>
      <c r="N485" s="66">
        <f>ROUND(0.04*430.83,0)*3.53*3</f>
        <v>180.03</v>
      </c>
      <c r="O485" s="66">
        <f>ROUND(0.04*492.08,0)*3.53*3</f>
        <v>211.79999999999998</v>
      </c>
      <c r="P485" s="66">
        <f>ROUND(0.04*548.5,0)*3.53*3</f>
        <v>232.98</v>
      </c>
      <c r="Q485" s="43">
        <f t="shared" si="14"/>
        <v>1633.23</v>
      </c>
    </row>
    <row r="486" spans="1:17" ht="12.75">
      <c r="A486" s="73">
        <f t="shared" si="15"/>
        <v>479</v>
      </c>
      <c r="B486" s="53" t="s">
        <v>552</v>
      </c>
      <c r="C486" s="18">
        <v>21799</v>
      </c>
      <c r="D486" s="19">
        <v>1</v>
      </c>
      <c r="E486" s="67">
        <v>67.8</v>
      </c>
      <c r="F486" s="23">
        <v>54.24</v>
      </c>
      <c r="G486" s="23">
        <v>47.46</v>
      </c>
      <c r="H486" s="23">
        <v>33.9</v>
      </c>
      <c r="I486" s="23">
        <v>20.34</v>
      </c>
      <c r="J486" s="23">
        <v>13.56</v>
      </c>
      <c r="K486" s="38">
        <f>ROUND(0.04*143.25,0)*3.53</f>
        <v>21.18</v>
      </c>
      <c r="L486" s="38">
        <f>ROUND(0.04*235.08,0)*3.53</f>
        <v>31.77</v>
      </c>
      <c r="M486" s="38">
        <f>ROUND(0.04*314.17,0)*3.53</f>
        <v>45.89</v>
      </c>
      <c r="N486" s="38">
        <f>ROUND(0.04*430.83,0)*3.53</f>
        <v>60.01</v>
      </c>
      <c r="O486" s="38">
        <f>ROUND(0.04*492.08,0)*3.53</f>
        <v>70.6</v>
      </c>
      <c r="P486" s="38">
        <f>ROUND(0.04*548.5,0)*3.53</f>
        <v>77.66</v>
      </c>
      <c r="Q486" s="20">
        <f t="shared" si="14"/>
        <v>544.41</v>
      </c>
    </row>
    <row r="487" spans="1:17" ht="12.75">
      <c r="A487" s="73">
        <f t="shared" si="15"/>
        <v>480</v>
      </c>
      <c r="B487" s="59" t="s">
        <v>553</v>
      </c>
      <c r="C487" s="62">
        <v>21807</v>
      </c>
      <c r="D487" s="65">
        <v>1</v>
      </c>
      <c r="E487" s="91">
        <v>67.8</v>
      </c>
      <c r="F487" s="66">
        <v>54.24</v>
      </c>
      <c r="G487" s="66">
        <v>47.46</v>
      </c>
      <c r="H487" s="66">
        <v>33.9</v>
      </c>
      <c r="I487" s="66">
        <v>20.34</v>
      </c>
      <c r="J487" s="66">
        <v>13.56</v>
      </c>
      <c r="K487" s="66">
        <f>ROUND(0.04*143.25,0)*3.53</f>
        <v>21.18</v>
      </c>
      <c r="L487" s="66">
        <f>ROUND(0.04*235.08,0)*3.53</f>
        <v>31.77</v>
      </c>
      <c r="M487" s="66">
        <f>ROUND(0.04*314.17,0)*3.53</f>
        <v>45.89</v>
      </c>
      <c r="N487" s="66">
        <f>ROUND(0.04*430.83,0)*3.53</f>
        <v>60.01</v>
      </c>
      <c r="O487" s="66">
        <f>ROUND(0.04*492.08,0)*3.53</f>
        <v>70.6</v>
      </c>
      <c r="P487" s="66">
        <f>ROUND(0.04*548.5,0)*3.53</f>
        <v>77.66</v>
      </c>
      <c r="Q487" s="43">
        <f t="shared" si="14"/>
        <v>544.41</v>
      </c>
    </row>
    <row r="488" spans="1:17" ht="12.75">
      <c r="A488" s="73">
        <f t="shared" si="15"/>
        <v>481</v>
      </c>
      <c r="B488" s="59" t="s">
        <v>554</v>
      </c>
      <c r="C488" s="62">
        <v>21809</v>
      </c>
      <c r="D488" s="65">
        <v>6</v>
      </c>
      <c r="E488" s="66">
        <v>406.8</v>
      </c>
      <c r="F488" s="66">
        <v>325.44</v>
      </c>
      <c r="G488" s="66">
        <v>284.76</v>
      </c>
      <c r="H488" s="66">
        <v>203.4</v>
      </c>
      <c r="I488" s="66">
        <v>122.04</v>
      </c>
      <c r="J488" s="66">
        <v>81.36</v>
      </c>
      <c r="K488" s="66">
        <f>ROUND(0.04*143.25,0)*3.53*6</f>
        <v>127.08</v>
      </c>
      <c r="L488" s="66">
        <f>ROUND(0.04*235.08,0)*3.53*6</f>
        <v>190.62</v>
      </c>
      <c r="M488" s="66"/>
      <c r="N488" s="66"/>
      <c r="O488" s="66"/>
      <c r="P488" s="66"/>
      <c r="Q488" s="43">
        <f t="shared" si="14"/>
        <v>1741.5</v>
      </c>
    </row>
    <row r="489" spans="1:17" ht="12.75">
      <c r="A489" s="73">
        <f t="shared" si="15"/>
        <v>482</v>
      </c>
      <c r="B489" s="53" t="s">
        <v>555</v>
      </c>
      <c r="C489" s="18">
        <v>22161</v>
      </c>
      <c r="D489" s="19" t="s">
        <v>584</v>
      </c>
      <c r="E489" s="67"/>
      <c r="F489" s="23"/>
      <c r="G489" s="23"/>
      <c r="H489" s="23"/>
      <c r="I489" s="23"/>
      <c r="J489" s="23"/>
      <c r="K489" s="38"/>
      <c r="L489" s="23"/>
      <c r="M489" s="23"/>
      <c r="N489" s="23"/>
      <c r="O489" s="23"/>
      <c r="P489" s="23"/>
      <c r="Q489" s="20">
        <f t="shared" si="14"/>
        <v>0</v>
      </c>
    </row>
    <row r="490" spans="1:17" ht="12.75">
      <c r="A490" s="73">
        <f t="shared" si="15"/>
        <v>483</v>
      </c>
      <c r="B490" s="9" t="s">
        <v>556</v>
      </c>
      <c r="C490" s="9">
        <v>22164</v>
      </c>
      <c r="D490" s="17">
        <v>4</v>
      </c>
      <c r="E490" s="20">
        <v>271.2</v>
      </c>
      <c r="F490" s="20">
        <v>216.96</v>
      </c>
      <c r="G490" s="20">
        <v>189.84</v>
      </c>
      <c r="H490" s="20">
        <v>135.6</v>
      </c>
      <c r="I490" s="20">
        <v>81.36</v>
      </c>
      <c r="J490" s="20">
        <v>54.24</v>
      </c>
      <c r="K490" s="22">
        <f>ROUND(0.04*143.25,0)*3.53*4</f>
        <v>84.72</v>
      </c>
      <c r="L490" s="22">
        <f>ROUND(0.04*235.08,0)*3.53*4</f>
        <v>127.08</v>
      </c>
      <c r="M490" s="22">
        <f>ROUND(0.04*314.17,0)*3.53*4</f>
        <v>183.56</v>
      </c>
      <c r="N490" s="22">
        <f>ROUND(0.04*430.83,0)*3.53*4</f>
        <v>240.04</v>
      </c>
      <c r="O490" s="22">
        <f>ROUND(0.04*492.08,0)*3.53*4</f>
        <v>282.4</v>
      </c>
      <c r="P490" s="22">
        <f>ROUND(0.04*548.5,0)*3.53*4</f>
        <v>310.64</v>
      </c>
      <c r="Q490" s="20">
        <f t="shared" si="14"/>
        <v>2177.64</v>
      </c>
    </row>
    <row r="491" spans="1:17" ht="12.75">
      <c r="A491" s="73">
        <f t="shared" si="15"/>
        <v>484</v>
      </c>
      <c r="B491" s="53" t="s">
        <v>557</v>
      </c>
      <c r="C491" s="18">
        <v>10001</v>
      </c>
      <c r="D491" s="19"/>
      <c r="E491" s="23"/>
      <c r="F491" s="23"/>
      <c r="G491" s="23"/>
      <c r="H491" s="23"/>
      <c r="I491" s="23"/>
      <c r="J491" s="23"/>
      <c r="K491" s="38"/>
      <c r="L491" s="23"/>
      <c r="M491" s="23"/>
      <c r="N491" s="23"/>
      <c r="O491" s="23"/>
      <c r="P491" s="23"/>
      <c r="Q491" s="20">
        <f t="shared" si="14"/>
        <v>0</v>
      </c>
    </row>
    <row r="492" spans="1:17" ht="12.75">
      <c r="A492" s="73">
        <f t="shared" si="15"/>
        <v>485</v>
      </c>
      <c r="B492" s="53" t="s">
        <v>558</v>
      </c>
      <c r="C492" s="18">
        <v>10002</v>
      </c>
      <c r="D492" s="19"/>
      <c r="E492" s="23"/>
      <c r="F492" s="23"/>
      <c r="G492" s="23"/>
      <c r="H492" s="23"/>
      <c r="I492" s="23"/>
      <c r="J492" s="23"/>
      <c r="K492" s="38"/>
      <c r="L492" s="23"/>
      <c r="M492" s="23"/>
      <c r="N492" s="23"/>
      <c r="O492" s="23"/>
      <c r="P492" s="23"/>
      <c r="Q492" s="20">
        <f t="shared" si="14"/>
        <v>0</v>
      </c>
    </row>
    <row r="493" spans="1:17" ht="12.75">
      <c r="A493" s="73">
        <f t="shared" si="15"/>
        <v>486</v>
      </c>
      <c r="B493" s="53" t="s">
        <v>559</v>
      </c>
      <c r="C493" s="18">
        <v>10003</v>
      </c>
      <c r="D493" s="19"/>
      <c r="E493" s="23"/>
      <c r="F493" s="23"/>
      <c r="G493" s="23"/>
      <c r="H493" s="23"/>
      <c r="I493" s="23"/>
      <c r="J493" s="23"/>
      <c r="K493" s="38"/>
      <c r="L493" s="23"/>
      <c r="M493" s="23"/>
      <c r="N493" s="23"/>
      <c r="O493" s="23"/>
      <c r="P493" s="23"/>
      <c r="Q493" s="20">
        <f t="shared" si="14"/>
        <v>0</v>
      </c>
    </row>
    <row r="494" spans="1:17" ht="12.75">
      <c r="A494" s="73">
        <f t="shared" si="15"/>
        <v>487</v>
      </c>
      <c r="B494" s="53" t="s">
        <v>560</v>
      </c>
      <c r="C494" s="18">
        <v>10004</v>
      </c>
      <c r="D494" s="19"/>
      <c r="E494" s="23"/>
      <c r="F494" s="23"/>
      <c r="G494" s="23"/>
      <c r="H494" s="23"/>
      <c r="I494" s="23"/>
      <c r="J494" s="23"/>
      <c r="K494" s="38"/>
      <c r="L494" s="23"/>
      <c r="M494" s="23"/>
      <c r="N494" s="23"/>
      <c r="O494" s="23"/>
      <c r="P494" s="23"/>
      <c r="Q494" s="20">
        <f t="shared" si="14"/>
        <v>0</v>
      </c>
    </row>
    <row r="495" spans="1:17" ht="12.75">
      <c r="A495" s="74">
        <f>A494+1</f>
        <v>488</v>
      </c>
      <c r="B495" s="78" t="s">
        <v>631</v>
      </c>
      <c r="C495" s="9">
        <v>10021</v>
      </c>
      <c r="D495" s="17"/>
      <c r="E495" s="20"/>
      <c r="F495" s="20"/>
      <c r="G495" s="20"/>
      <c r="H495" s="20"/>
      <c r="I495" s="20"/>
      <c r="J495" s="20"/>
      <c r="K495" s="22"/>
      <c r="L495" s="20"/>
      <c r="M495" s="20">
        <v>11221.22</v>
      </c>
      <c r="N495" s="20">
        <v>9.97</v>
      </c>
      <c r="O495" s="20">
        <v>6727.01</v>
      </c>
      <c r="P495" s="20">
        <v>4054.1</v>
      </c>
      <c r="Q495" s="20">
        <f t="shared" si="14"/>
        <v>22012.299999999996</v>
      </c>
    </row>
    <row r="496" spans="1:17" ht="12.75">
      <c r="A496" s="74">
        <f>A495+1</f>
        <v>489</v>
      </c>
      <c r="B496" s="12" t="s">
        <v>632</v>
      </c>
      <c r="C496" s="9">
        <v>10022</v>
      </c>
      <c r="D496" s="17" t="s">
        <v>583</v>
      </c>
      <c r="E496" s="20"/>
      <c r="F496" s="20"/>
      <c r="G496" s="20"/>
      <c r="H496" s="20"/>
      <c r="I496" s="20"/>
      <c r="J496" s="20"/>
      <c r="K496" s="22"/>
      <c r="L496" s="20"/>
      <c r="M496" s="20">
        <v>10855.67</v>
      </c>
      <c r="N496" s="20">
        <v>10566.44</v>
      </c>
      <c r="O496" s="20">
        <v>13205.31</v>
      </c>
      <c r="P496" s="20">
        <v>13075.27</v>
      </c>
      <c r="Q496" s="20">
        <f t="shared" si="14"/>
        <v>47702.69</v>
      </c>
    </row>
    <row r="497" spans="1:17" ht="12.75">
      <c r="A497" s="74">
        <f>A496+1</f>
        <v>490</v>
      </c>
      <c r="B497" s="9" t="s">
        <v>629</v>
      </c>
      <c r="C497" s="9">
        <v>10023</v>
      </c>
      <c r="D497" s="17"/>
      <c r="E497" s="20"/>
      <c r="F497" s="20"/>
      <c r="G497" s="20"/>
      <c r="H497" s="20"/>
      <c r="I497" s="20"/>
      <c r="J497" s="20"/>
      <c r="K497" s="22"/>
      <c r="L497" s="20">
        <v>1372.93</v>
      </c>
      <c r="M497" s="20">
        <v>3178.4</v>
      </c>
      <c r="N497" s="20">
        <v>1673.14</v>
      </c>
      <c r="O497" s="20">
        <v>1724.12</v>
      </c>
      <c r="P497" s="20">
        <v>1926.8</v>
      </c>
      <c r="Q497" s="20">
        <f t="shared" si="14"/>
        <v>9875.39</v>
      </c>
    </row>
    <row r="498" spans="1:18" ht="12.75">
      <c r="A498" s="74">
        <f>A497+1</f>
        <v>491</v>
      </c>
      <c r="B498" s="57" t="s">
        <v>633</v>
      </c>
      <c r="C498" s="12">
        <v>21612</v>
      </c>
      <c r="D498" s="17" t="s">
        <v>717</v>
      </c>
      <c r="E498" s="20"/>
      <c r="F498" s="20"/>
      <c r="G498" s="20"/>
      <c r="H498" s="20"/>
      <c r="I498" s="20"/>
      <c r="J498" s="20"/>
      <c r="K498" s="22"/>
      <c r="L498" s="20"/>
      <c r="M498" s="20"/>
      <c r="N498" s="20"/>
      <c r="O498" s="20"/>
      <c r="P498" s="20"/>
      <c r="Q498" s="20">
        <f aca="true" t="shared" si="16" ref="Q498:Q561">E498+F498+G498+H498+I498+J498+K498+L498+M498+N498+O498+P498</f>
        <v>0</v>
      </c>
      <c r="R498" s="34" t="s">
        <v>723</v>
      </c>
    </row>
    <row r="499" spans="1:17" ht="12.75">
      <c r="A499" s="73">
        <f aca="true" t="shared" si="17" ref="A499:A562">A498+1</f>
        <v>492</v>
      </c>
      <c r="B499" s="57" t="s">
        <v>634</v>
      </c>
      <c r="C499" s="9">
        <v>21837</v>
      </c>
      <c r="D499" s="17"/>
      <c r="E499" s="20"/>
      <c r="F499" s="20"/>
      <c r="G499" s="20"/>
      <c r="H499" s="20"/>
      <c r="I499" s="20"/>
      <c r="J499" s="20"/>
      <c r="K499" s="22"/>
      <c r="L499" s="20"/>
      <c r="M499" s="20"/>
      <c r="N499" s="20"/>
      <c r="O499" s="20"/>
      <c r="P499" s="20">
        <v>0</v>
      </c>
      <c r="Q499" s="20">
        <f t="shared" si="16"/>
        <v>0</v>
      </c>
    </row>
    <row r="500" spans="1:18" ht="12.75">
      <c r="A500" s="73">
        <f t="shared" si="17"/>
        <v>493</v>
      </c>
      <c r="B500" s="57" t="s">
        <v>635</v>
      </c>
      <c r="C500" s="12">
        <v>21821</v>
      </c>
      <c r="D500" s="17" t="s">
        <v>717</v>
      </c>
      <c r="E500" s="20"/>
      <c r="F500" s="20"/>
      <c r="G500" s="20"/>
      <c r="H500" s="20"/>
      <c r="I500" s="20"/>
      <c r="J500" s="20"/>
      <c r="K500" s="22"/>
      <c r="L500" s="20"/>
      <c r="M500" s="20"/>
      <c r="N500" s="20"/>
      <c r="O500" s="20"/>
      <c r="P500" s="66">
        <f>ROUND(0.04*548.5,0)*3.53</f>
        <v>77.66</v>
      </c>
      <c r="Q500" s="20">
        <f t="shared" si="16"/>
        <v>77.66</v>
      </c>
      <c r="R500" s="34" t="s">
        <v>723</v>
      </c>
    </row>
    <row r="501" spans="1:18" ht="12.75">
      <c r="A501" s="73">
        <f t="shared" si="17"/>
        <v>494</v>
      </c>
      <c r="B501" s="57" t="s">
        <v>636</v>
      </c>
      <c r="C501" s="12">
        <v>21872</v>
      </c>
      <c r="D501" s="17" t="s">
        <v>717</v>
      </c>
      <c r="E501" s="20"/>
      <c r="F501" s="20"/>
      <c r="G501" s="20"/>
      <c r="H501" s="20"/>
      <c r="I501" s="20"/>
      <c r="J501" s="20"/>
      <c r="K501" s="22"/>
      <c r="L501" s="20"/>
      <c r="M501" s="20"/>
      <c r="N501" s="20"/>
      <c r="O501" s="20"/>
      <c r="P501" s="66">
        <f>ROUND(0.04*548.5,0)*3.53</f>
        <v>77.66</v>
      </c>
      <c r="Q501" s="20">
        <f t="shared" si="16"/>
        <v>77.66</v>
      </c>
      <c r="R501" s="34" t="s">
        <v>723</v>
      </c>
    </row>
    <row r="502" spans="1:18" ht="12.75">
      <c r="A502" s="73">
        <f t="shared" si="17"/>
        <v>495</v>
      </c>
      <c r="B502" s="57" t="s">
        <v>637</v>
      </c>
      <c r="C502" s="12">
        <v>23641</v>
      </c>
      <c r="D502" s="17" t="s">
        <v>717</v>
      </c>
      <c r="E502" s="20"/>
      <c r="F502" s="20"/>
      <c r="G502" s="20"/>
      <c r="H502" s="20"/>
      <c r="I502" s="20"/>
      <c r="J502" s="20"/>
      <c r="K502" s="22"/>
      <c r="L502" s="20"/>
      <c r="M502" s="20"/>
      <c r="N502" s="20"/>
      <c r="O502" s="20"/>
      <c r="P502" s="20">
        <v>0</v>
      </c>
      <c r="Q502" s="20">
        <f t="shared" si="16"/>
        <v>0</v>
      </c>
      <c r="R502" s="34" t="s">
        <v>723</v>
      </c>
    </row>
    <row r="503" spans="1:18" ht="12.75">
      <c r="A503" s="73">
        <f t="shared" si="17"/>
        <v>496</v>
      </c>
      <c r="B503" s="57" t="s">
        <v>638</v>
      </c>
      <c r="C503" s="12">
        <v>21305</v>
      </c>
      <c r="D503" s="17" t="s">
        <v>717</v>
      </c>
      <c r="E503" s="20"/>
      <c r="F503" s="20"/>
      <c r="G503" s="20"/>
      <c r="H503" s="20"/>
      <c r="I503" s="20"/>
      <c r="J503" s="20"/>
      <c r="K503" s="22"/>
      <c r="L503" s="20"/>
      <c r="M503" s="20"/>
      <c r="N503" s="20"/>
      <c r="O503" s="20"/>
      <c r="P503" s="20"/>
      <c r="Q503" s="20">
        <f t="shared" si="16"/>
        <v>0</v>
      </c>
      <c r="R503" s="34" t="s">
        <v>723</v>
      </c>
    </row>
    <row r="504" spans="1:231" s="44" customFormat="1" ht="12.75">
      <c r="A504" s="73">
        <f t="shared" si="17"/>
        <v>497</v>
      </c>
      <c r="B504" s="57" t="s">
        <v>639</v>
      </c>
      <c r="C504" s="9">
        <v>22194</v>
      </c>
      <c r="D504" s="17" t="s">
        <v>717</v>
      </c>
      <c r="E504" s="20"/>
      <c r="F504" s="20"/>
      <c r="G504" s="20"/>
      <c r="H504" s="20"/>
      <c r="I504" s="20"/>
      <c r="J504" s="20"/>
      <c r="K504" s="22"/>
      <c r="L504" s="20"/>
      <c r="M504" s="20"/>
      <c r="N504" s="20"/>
      <c r="O504" s="20"/>
      <c r="P504" s="20"/>
      <c r="Q504" s="20">
        <f t="shared" si="16"/>
        <v>0</v>
      </c>
      <c r="R504" s="34" t="s">
        <v>716</v>
      </c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</row>
    <row r="505" spans="1:18" ht="12.75">
      <c r="A505" s="73">
        <f t="shared" si="17"/>
        <v>498</v>
      </c>
      <c r="B505" s="57" t="s">
        <v>640</v>
      </c>
      <c r="C505" s="12">
        <v>22156</v>
      </c>
      <c r="D505" s="17" t="s">
        <v>717</v>
      </c>
      <c r="E505" s="20"/>
      <c r="F505" s="20"/>
      <c r="G505" s="20"/>
      <c r="H505" s="20"/>
      <c r="I505" s="20"/>
      <c r="J505" s="20"/>
      <c r="K505" s="22"/>
      <c r="L505" s="20"/>
      <c r="M505" s="20"/>
      <c r="N505" s="20"/>
      <c r="O505" s="20"/>
      <c r="P505" s="20"/>
      <c r="Q505" s="20">
        <f t="shared" si="16"/>
        <v>0</v>
      </c>
      <c r="R505" s="34" t="s">
        <v>716</v>
      </c>
    </row>
    <row r="506" spans="1:231" s="44" customFormat="1" ht="12.75">
      <c r="A506" s="73">
        <f t="shared" si="17"/>
        <v>499</v>
      </c>
      <c r="B506" s="57" t="s">
        <v>641</v>
      </c>
      <c r="C506" s="9">
        <v>22166</v>
      </c>
      <c r="D506" s="17" t="s">
        <v>717</v>
      </c>
      <c r="E506" s="20"/>
      <c r="F506" s="20"/>
      <c r="G506" s="20"/>
      <c r="H506" s="20"/>
      <c r="I506" s="20"/>
      <c r="J506" s="20"/>
      <c r="K506" s="22"/>
      <c r="L506" s="20"/>
      <c r="M506" s="20"/>
      <c r="N506" s="20"/>
      <c r="O506" s="20"/>
      <c r="P506" s="20"/>
      <c r="Q506" s="20">
        <f t="shared" si="16"/>
        <v>0</v>
      </c>
      <c r="R506" s="34" t="s">
        <v>716</v>
      </c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</row>
    <row r="507" spans="1:18" ht="12.75">
      <c r="A507" s="73">
        <f t="shared" si="17"/>
        <v>500</v>
      </c>
      <c r="B507" s="57" t="s">
        <v>642</v>
      </c>
      <c r="C507" s="12">
        <v>22154</v>
      </c>
      <c r="D507" s="17" t="s">
        <v>717</v>
      </c>
      <c r="E507" s="20"/>
      <c r="F507" s="20"/>
      <c r="G507" s="20"/>
      <c r="H507" s="20"/>
      <c r="I507" s="20"/>
      <c r="J507" s="20"/>
      <c r="K507" s="22"/>
      <c r="L507" s="20"/>
      <c r="M507" s="20"/>
      <c r="N507" s="20"/>
      <c r="O507" s="20"/>
      <c r="P507" s="20"/>
      <c r="Q507" s="20">
        <f t="shared" si="16"/>
        <v>0</v>
      </c>
      <c r="R507" s="34" t="s">
        <v>716</v>
      </c>
    </row>
    <row r="508" spans="1:17" ht="12.75">
      <c r="A508" s="73">
        <f t="shared" si="17"/>
        <v>501</v>
      </c>
      <c r="B508" s="57" t="s">
        <v>643</v>
      </c>
      <c r="C508" s="12">
        <v>21841</v>
      </c>
      <c r="D508" s="17"/>
      <c r="E508" s="20"/>
      <c r="F508" s="20"/>
      <c r="G508" s="20"/>
      <c r="H508" s="20"/>
      <c r="I508" s="20"/>
      <c r="J508" s="20"/>
      <c r="K508" s="22"/>
      <c r="L508" s="20"/>
      <c r="M508" s="20"/>
      <c r="N508" s="20"/>
      <c r="O508" s="20"/>
      <c r="P508" s="20">
        <v>0</v>
      </c>
      <c r="Q508" s="20">
        <f t="shared" si="16"/>
        <v>0</v>
      </c>
    </row>
    <row r="509" spans="1:18" ht="12.75">
      <c r="A509" s="73">
        <f t="shared" si="17"/>
        <v>502</v>
      </c>
      <c r="B509" s="57" t="s">
        <v>644</v>
      </c>
      <c r="C509" s="12">
        <v>21632</v>
      </c>
      <c r="D509" s="17" t="s">
        <v>717</v>
      </c>
      <c r="E509" s="20"/>
      <c r="F509" s="20"/>
      <c r="G509" s="20"/>
      <c r="H509" s="20"/>
      <c r="I509" s="20"/>
      <c r="J509" s="20"/>
      <c r="K509" s="22"/>
      <c r="L509" s="20"/>
      <c r="M509" s="20"/>
      <c r="N509" s="20"/>
      <c r="O509" s="20"/>
      <c r="P509" s="20">
        <v>0</v>
      </c>
      <c r="Q509" s="20">
        <f t="shared" si="16"/>
        <v>0</v>
      </c>
      <c r="R509" s="34" t="s">
        <v>723</v>
      </c>
    </row>
    <row r="510" spans="1:17" ht="12.75">
      <c r="A510" s="73">
        <f t="shared" si="17"/>
        <v>503</v>
      </c>
      <c r="B510" s="57" t="s">
        <v>645</v>
      </c>
      <c r="C510" s="12">
        <v>10021</v>
      </c>
      <c r="D510" s="17"/>
      <c r="E510" s="20"/>
      <c r="F510" s="20"/>
      <c r="G510" s="20"/>
      <c r="H510" s="20"/>
      <c r="I510" s="20"/>
      <c r="J510" s="20"/>
      <c r="K510" s="22"/>
      <c r="L510" s="20"/>
      <c r="M510" s="20"/>
      <c r="N510" s="20"/>
      <c r="O510" s="20"/>
      <c r="P510" s="66">
        <f>ROUND(7*0.04*548.5,0)*3.53</f>
        <v>543.62</v>
      </c>
      <c r="Q510" s="20">
        <f t="shared" si="16"/>
        <v>543.62</v>
      </c>
    </row>
    <row r="511" spans="1:17" ht="12.75">
      <c r="A511" s="73">
        <f t="shared" si="17"/>
        <v>504</v>
      </c>
      <c r="B511" s="57" t="s">
        <v>646</v>
      </c>
      <c r="C511" s="9">
        <v>21311</v>
      </c>
      <c r="D511" s="17"/>
      <c r="E511" s="20"/>
      <c r="F511" s="20"/>
      <c r="G511" s="20"/>
      <c r="H511" s="20"/>
      <c r="I511" s="20"/>
      <c r="J511" s="20"/>
      <c r="K511" s="22"/>
      <c r="L511" s="20"/>
      <c r="M511" s="20"/>
      <c r="N511" s="20"/>
      <c r="O511" s="20"/>
      <c r="P511" s="20">
        <v>0</v>
      </c>
      <c r="Q511" s="20">
        <f t="shared" si="16"/>
        <v>0</v>
      </c>
    </row>
    <row r="512" spans="1:18" ht="12.75">
      <c r="A512" s="73">
        <f t="shared" si="17"/>
        <v>505</v>
      </c>
      <c r="B512" s="57" t="s">
        <v>647</v>
      </c>
      <c r="C512" s="12">
        <v>21161</v>
      </c>
      <c r="D512" s="17" t="s">
        <v>717</v>
      </c>
      <c r="E512" s="20"/>
      <c r="F512" s="20"/>
      <c r="G512" s="20"/>
      <c r="H512" s="20"/>
      <c r="I512" s="20"/>
      <c r="J512" s="20"/>
      <c r="K512" s="22"/>
      <c r="L512" s="20"/>
      <c r="M512" s="20"/>
      <c r="N512" s="20"/>
      <c r="O512" s="20"/>
      <c r="P512" s="20">
        <v>0</v>
      </c>
      <c r="Q512" s="20">
        <f t="shared" si="16"/>
        <v>0</v>
      </c>
      <c r="R512" s="34" t="s">
        <v>723</v>
      </c>
    </row>
    <row r="513" spans="1:17" ht="12.75">
      <c r="A513" s="73">
        <f t="shared" si="17"/>
        <v>506</v>
      </c>
      <c r="B513" s="57" t="s">
        <v>648</v>
      </c>
      <c r="C513" s="12">
        <v>21848</v>
      </c>
      <c r="D513" s="17"/>
      <c r="E513" s="20"/>
      <c r="F513" s="20"/>
      <c r="G513" s="20"/>
      <c r="H513" s="20"/>
      <c r="I513" s="20"/>
      <c r="J513" s="20"/>
      <c r="K513" s="22"/>
      <c r="L513" s="20"/>
      <c r="M513" s="20"/>
      <c r="N513" s="20"/>
      <c r="O513" s="20"/>
      <c r="P513" s="20">
        <v>0</v>
      </c>
      <c r="Q513" s="20">
        <f t="shared" si="16"/>
        <v>0</v>
      </c>
    </row>
    <row r="514" spans="1:17" ht="12.75">
      <c r="A514" s="73">
        <f t="shared" si="17"/>
        <v>507</v>
      </c>
      <c r="B514" s="57" t="s">
        <v>649</v>
      </c>
      <c r="C514" s="12">
        <v>21850</v>
      </c>
      <c r="D514" s="17"/>
      <c r="E514" s="20"/>
      <c r="F514" s="20"/>
      <c r="G514" s="20"/>
      <c r="H514" s="20"/>
      <c r="I514" s="20"/>
      <c r="J514" s="20"/>
      <c r="K514" s="22"/>
      <c r="L514" s="20"/>
      <c r="M514" s="20"/>
      <c r="N514" s="20"/>
      <c r="O514" s="20"/>
      <c r="P514" s="20">
        <v>0</v>
      </c>
      <c r="Q514" s="20">
        <f t="shared" si="16"/>
        <v>0</v>
      </c>
    </row>
    <row r="515" spans="1:18" ht="12.75">
      <c r="A515" s="73">
        <f t="shared" si="17"/>
        <v>508</v>
      </c>
      <c r="B515" s="57" t="s">
        <v>650</v>
      </c>
      <c r="C515" s="12">
        <v>23637</v>
      </c>
      <c r="D515" s="17" t="s">
        <v>717</v>
      </c>
      <c r="E515" s="20"/>
      <c r="F515" s="20"/>
      <c r="G515" s="20"/>
      <c r="H515" s="20"/>
      <c r="I515" s="20"/>
      <c r="J515" s="20"/>
      <c r="K515" s="22"/>
      <c r="L515" s="20"/>
      <c r="M515" s="20"/>
      <c r="N515" s="20"/>
      <c r="O515" s="20"/>
      <c r="P515" s="66">
        <f>ROUND(0.04*548.5,0)*3.53</f>
        <v>77.66</v>
      </c>
      <c r="Q515" s="20">
        <f t="shared" si="16"/>
        <v>77.66</v>
      </c>
      <c r="R515" s="34" t="s">
        <v>723</v>
      </c>
    </row>
    <row r="516" spans="1:18" ht="12.75">
      <c r="A516" s="73">
        <f t="shared" si="17"/>
        <v>509</v>
      </c>
      <c r="B516" s="57" t="s">
        <v>651</v>
      </c>
      <c r="C516" s="9">
        <v>22139</v>
      </c>
      <c r="D516" s="17" t="s">
        <v>717</v>
      </c>
      <c r="E516" s="20"/>
      <c r="F516" s="20"/>
      <c r="G516" s="20"/>
      <c r="H516" s="20"/>
      <c r="I516" s="20"/>
      <c r="J516" s="20"/>
      <c r="K516" s="22"/>
      <c r="L516" s="20"/>
      <c r="M516" s="20"/>
      <c r="N516" s="20"/>
      <c r="O516" s="20"/>
      <c r="P516" s="20">
        <v>0</v>
      </c>
      <c r="Q516" s="20">
        <f t="shared" si="16"/>
        <v>0</v>
      </c>
      <c r="R516" s="34" t="s">
        <v>716</v>
      </c>
    </row>
    <row r="517" spans="1:17" ht="12.75">
      <c r="A517" s="73">
        <f t="shared" si="17"/>
        <v>510</v>
      </c>
      <c r="B517" s="57" t="s">
        <v>652</v>
      </c>
      <c r="C517" s="12">
        <v>21336</v>
      </c>
      <c r="D517" s="17"/>
      <c r="E517" s="20"/>
      <c r="F517" s="20"/>
      <c r="G517" s="20"/>
      <c r="H517" s="20"/>
      <c r="I517" s="20"/>
      <c r="J517" s="20"/>
      <c r="K517" s="22"/>
      <c r="L517" s="20"/>
      <c r="M517" s="20"/>
      <c r="N517" s="20"/>
      <c r="O517" s="20"/>
      <c r="P517" s="20">
        <v>0</v>
      </c>
      <c r="Q517" s="20">
        <f t="shared" si="16"/>
        <v>0</v>
      </c>
    </row>
    <row r="518" spans="1:18" ht="12.75">
      <c r="A518" s="73">
        <f t="shared" si="17"/>
        <v>511</v>
      </c>
      <c r="B518" s="57" t="s">
        <v>653</v>
      </c>
      <c r="C518" s="12">
        <v>22170</v>
      </c>
      <c r="D518" s="17" t="s">
        <v>717</v>
      </c>
      <c r="E518" s="20"/>
      <c r="F518" s="20"/>
      <c r="G518" s="20"/>
      <c r="H518" s="20"/>
      <c r="I518" s="20"/>
      <c r="J518" s="20"/>
      <c r="K518" s="22"/>
      <c r="L518" s="20"/>
      <c r="M518" s="20"/>
      <c r="N518" s="20"/>
      <c r="O518" s="20"/>
      <c r="P518" s="66">
        <f>ROUND(4*0.04*548.5,0)*3.53</f>
        <v>310.64</v>
      </c>
      <c r="Q518" s="20">
        <f t="shared" si="16"/>
        <v>310.64</v>
      </c>
      <c r="R518" s="34" t="s">
        <v>716</v>
      </c>
    </row>
    <row r="519" spans="1:18" ht="12.75">
      <c r="A519" s="73">
        <f t="shared" si="17"/>
        <v>512</v>
      </c>
      <c r="B519" s="57" t="s">
        <v>654</v>
      </c>
      <c r="C519" s="12">
        <v>22157</v>
      </c>
      <c r="D519" s="17" t="s">
        <v>717</v>
      </c>
      <c r="E519" s="20"/>
      <c r="F519" s="20"/>
      <c r="G519" s="20"/>
      <c r="H519" s="20"/>
      <c r="I519" s="20"/>
      <c r="J519" s="20"/>
      <c r="K519" s="22"/>
      <c r="L519" s="20"/>
      <c r="M519" s="20"/>
      <c r="N519" s="20"/>
      <c r="O519" s="20"/>
      <c r="P519" s="66">
        <f>ROUND(4*0.04*548.5,0)*3.53</f>
        <v>310.64</v>
      </c>
      <c r="Q519" s="20">
        <f t="shared" si="16"/>
        <v>310.64</v>
      </c>
      <c r="R519" s="34" t="s">
        <v>716</v>
      </c>
    </row>
    <row r="520" spans="1:18" ht="12.75">
      <c r="A520" s="73">
        <f t="shared" si="17"/>
        <v>513</v>
      </c>
      <c r="B520" s="57" t="s">
        <v>655</v>
      </c>
      <c r="C520" s="12">
        <v>22158</v>
      </c>
      <c r="D520" s="17" t="s">
        <v>717</v>
      </c>
      <c r="E520" s="20"/>
      <c r="F520" s="20"/>
      <c r="G520" s="20"/>
      <c r="H520" s="20"/>
      <c r="I520" s="20"/>
      <c r="J520" s="20"/>
      <c r="K520" s="22"/>
      <c r="L520" s="20"/>
      <c r="M520" s="20"/>
      <c r="N520" s="20"/>
      <c r="O520" s="20"/>
      <c r="P520" s="66">
        <f>ROUND(3*0.04*548.5,0)*3.53</f>
        <v>232.98</v>
      </c>
      <c r="Q520" s="20">
        <f t="shared" si="16"/>
        <v>232.98</v>
      </c>
      <c r="R520" s="34" t="s">
        <v>716</v>
      </c>
    </row>
    <row r="521" spans="1:18" ht="12.75">
      <c r="A521" s="73">
        <f t="shared" si="17"/>
        <v>514</v>
      </c>
      <c r="B521" s="57" t="s">
        <v>656</v>
      </c>
      <c r="C521" s="12">
        <v>22171</v>
      </c>
      <c r="D521" s="17" t="s">
        <v>717</v>
      </c>
      <c r="E521" s="20"/>
      <c r="F521" s="20"/>
      <c r="G521" s="20"/>
      <c r="H521" s="20"/>
      <c r="I521" s="20"/>
      <c r="J521" s="20"/>
      <c r="K521" s="22"/>
      <c r="L521" s="20"/>
      <c r="M521" s="20"/>
      <c r="N521" s="20"/>
      <c r="O521" s="20"/>
      <c r="P521" s="66">
        <f>ROUND(3*0.04*548.5,0)*3.53</f>
        <v>232.98</v>
      </c>
      <c r="Q521" s="20">
        <f t="shared" si="16"/>
        <v>232.98</v>
      </c>
      <c r="R521" s="34" t="s">
        <v>716</v>
      </c>
    </row>
    <row r="522" spans="1:231" s="44" customFormat="1" ht="12.75">
      <c r="A522" s="73">
        <f t="shared" si="17"/>
        <v>515</v>
      </c>
      <c r="B522" s="57" t="s">
        <v>657</v>
      </c>
      <c r="C522" s="12"/>
      <c r="D522" s="17" t="s">
        <v>717</v>
      </c>
      <c r="E522" s="20"/>
      <c r="F522" s="20"/>
      <c r="G522" s="20"/>
      <c r="H522" s="20"/>
      <c r="I522" s="20"/>
      <c r="J522" s="20"/>
      <c r="K522" s="22"/>
      <c r="L522" s="20"/>
      <c r="M522" s="20"/>
      <c r="N522" s="20"/>
      <c r="O522" s="20"/>
      <c r="P522" s="66">
        <f>ROUND(3*0.04*548.5,0)*3.53</f>
        <v>232.98</v>
      </c>
      <c r="Q522" s="20">
        <f t="shared" si="16"/>
        <v>232.98</v>
      </c>
      <c r="R522" s="34" t="s">
        <v>716</v>
      </c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</row>
    <row r="523" spans="1:17" ht="12.75">
      <c r="A523" s="73">
        <f t="shared" si="17"/>
        <v>516</v>
      </c>
      <c r="B523" s="57" t="s">
        <v>658</v>
      </c>
      <c r="C523" s="12">
        <v>21179</v>
      </c>
      <c r="D523" s="17"/>
      <c r="E523" s="20"/>
      <c r="F523" s="20"/>
      <c r="G523" s="20"/>
      <c r="H523" s="20"/>
      <c r="I523" s="20"/>
      <c r="J523" s="20"/>
      <c r="K523" s="22"/>
      <c r="L523" s="20"/>
      <c r="M523" s="20"/>
      <c r="N523" s="20"/>
      <c r="O523" s="20"/>
      <c r="P523" s="66">
        <f>ROUND(0.04*548.5,0)*3.53</f>
        <v>77.66</v>
      </c>
      <c r="Q523" s="20">
        <f t="shared" si="16"/>
        <v>77.66</v>
      </c>
    </row>
    <row r="524" spans="1:17" ht="12.75">
      <c r="A524" s="73">
        <f t="shared" si="17"/>
        <v>517</v>
      </c>
      <c r="B524" s="57" t="s">
        <v>659</v>
      </c>
      <c r="C524" s="12">
        <v>21186</v>
      </c>
      <c r="D524" s="17"/>
      <c r="E524" s="20"/>
      <c r="F524" s="20"/>
      <c r="G524" s="20"/>
      <c r="H524" s="20"/>
      <c r="I524" s="20"/>
      <c r="J524" s="20"/>
      <c r="K524" s="22"/>
      <c r="L524" s="20"/>
      <c r="M524" s="20"/>
      <c r="N524" s="20"/>
      <c r="O524" s="20"/>
      <c r="P524" s="20">
        <v>0</v>
      </c>
      <c r="Q524" s="20">
        <f t="shared" si="16"/>
        <v>0</v>
      </c>
    </row>
    <row r="525" spans="1:231" s="44" customFormat="1" ht="12.75">
      <c r="A525" s="73">
        <f t="shared" si="17"/>
        <v>518</v>
      </c>
      <c r="B525" s="57" t="s">
        <v>660</v>
      </c>
      <c r="C525" s="12">
        <v>21209</v>
      </c>
      <c r="D525" s="17"/>
      <c r="E525" s="20"/>
      <c r="F525" s="20"/>
      <c r="G525" s="20"/>
      <c r="H525" s="20"/>
      <c r="I525" s="20"/>
      <c r="J525" s="20"/>
      <c r="K525" s="22"/>
      <c r="L525" s="20"/>
      <c r="M525" s="20"/>
      <c r="N525" s="20"/>
      <c r="O525" s="20"/>
      <c r="P525" s="20">
        <v>0</v>
      </c>
      <c r="Q525" s="20">
        <f t="shared" si="16"/>
        <v>0</v>
      </c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</row>
    <row r="526" spans="1:17" ht="12.75">
      <c r="A526" s="73">
        <f t="shared" si="17"/>
        <v>519</v>
      </c>
      <c r="B526" s="57" t="s">
        <v>661</v>
      </c>
      <c r="C526" s="12">
        <v>21204</v>
      </c>
      <c r="D526" s="17"/>
      <c r="E526" s="20"/>
      <c r="F526" s="20"/>
      <c r="G526" s="20"/>
      <c r="H526" s="20"/>
      <c r="I526" s="20"/>
      <c r="J526" s="20"/>
      <c r="K526" s="22"/>
      <c r="L526" s="20"/>
      <c r="M526" s="20"/>
      <c r="N526" s="20"/>
      <c r="O526" s="20"/>
      <c r="P526" s="66">
        <f>ROUND(0.04*548.5,0)*3.53</f>
        <v>77.66</v>
      </c>
      <c r="Q526" s="20">
        <f>E526+F526+G526+H526+I526+J526+K526+L526+M526+N526+O526+P526</f>
        <v>77.66</v>
      </c>
    </row>
    <row r="527" spans="1:17" ht="12.75">
      <c r="A527" s="73">
        <f t="shared" si="17"/>
        <v>520</v>
      </c>
      <c r="B527" s="57" t="s">
        <v>662</v>
      </c>
      <c r="C527" s="12">
        <v>21373</v>
      </c>
      <c r="D527" s="17"/>
      <c r="E527" s="20"/>
      <c r="F527" s="20"/>
      <c r="G527" s="20"/>
      <c r="H527" s="20"/>
      <c r="I527" s="20"/>
      <c r="J527" s="20"/>
      <c r="K527" s="22"/>
      <c r="L527" s="20"/>
      <c r="M527" s="20"/>
      <c r="N527" s="20"/>
      <c r="O527" s="20"/>
      <c r="P527" s="66">
        <f>ROUND(0.04*548.5,0)*3.53</f>
        <v>77.66</v>
      </c>
      <c r="Q527" s="20">
        <f t="shared" si="16"/>
        <v>77.66</v>
      </c>
    </row>
    <row r="528" spans="1:17" ht="12.75">
      <c r="A528" s="73">
        <f t="shared" si="17"/>
        <v>521</v>
      </c>
      <c r="B528" s="57" t="s">
        <v>663</v>
      </c>
      <c r="C528" s="12">
        <v>21374</v>
      </c>
      <c r="D528" s="17"/>
      <c r="E528" s="20"/>
      <c r="F528" s="20"/>
      <c r="G528" s="20"/>
      <c r="H528" s="20"/>
      <c r="I528" s="20"/>
      <c r="J528" s="20"/>
      <c r="K528" s="22"/>
      <c r="L528" s="20"/>
      <c r="M528" s="20"/>
      <c r="N528" s="20"/>
      <c r="O528" s="20"/>
      <c r="P528" s="66">
        <f>ROUND(2*0.04*548.5,0)*3.53</f>
        <v>155.32</v>
      </c>
      <c r="Q528" s="20">
        <f t="shared" si="16"/>
        <v>155.32</v>
      </c>
    </row>
    <row r="529" spans="1:17" ht="12.75">
      <c r="A529" s="73">
        <f t="shared" si="17"/>
        <v>522</v>
      </c>
      <c r="B529" s="57" t="s">
        <v>664</v>
      </c>
      <c r="C529" s="12">
        <v>21361</v>
      </c>
      <c r="D529" s="17"/>
      <c r="E529" s="20"/>
      <c r="F529" s="20"/>
      <c r="G529" s="20"/>
      <c r="H529" s="20"/>
      <c r="I529" s="20"/>
      <c r="J529" s="20"/>
      <c r="K529" s="22"/>
      <c r="L529" s="20"/>
      <c r="M529" s="20"/>
      <c r="N529" s="20"/>
      <c r="O529" s="20"/>
      <c r="P529" s="20">
        <v>0</v>
      </c>
      <c r="Q529" s="20">
        <f t="shared" si="16"/>
        <v>0</v>
      </c>
    </row>
    <row r="530" spans="1:17" ht="12.75">
      <c r="A530" s="73">
        <f t="shared" si="17"/>
        <v>523</v>
      </c>
      <c r="B530" s="57" t="s">
        <v>665</v>
      </c>
      <c r="C530" s="12">
        <v>21816</v>
      </c>
      <c r="D530" s="17"/>
      <c r="E530" s="20"/>
      <c r="F530" s="20"/>
      <c r="G530" s="20"/>
      <c r="H530" s="20"/>
      <c r="I530" s="20"/>
      <c r="J530" s="20"/>
      <c r="K530" s="22"/>
      <c r="L530" s="20"/>
      <c r="M530" s="20"/>
      <c r="N530" s="20"/>
      <c r="O530" s="20"/>
      <c r="P530" s="66">
        <f>ROUND(0.04*548.5,0)*3.53</f>
        <v>77.66</v>
      </c>
      <c r="Q530" s="20">
        <f t="shared" si="16"/>
        <v>77.66</v>
      </c>
    </row>
    <row r="531" spans="1:18" ht="12.75">
      <c r="A531" s="73">
        <f t="shared" si="17"/>
        <v>524</v>
      </c>
      <c r="B531" s="57" t="s">
        <v>666</v>
      </c>
      <c r="C531" s="12">
        <v>12226</v>
      </c>
      <c r="D531" s="17" t="s">
        <v>717</v>
      </c>
      <c r="E531" s="20"/>
      <c r="F531" s="20"/>
      <c r="G531" s="20"/>
      <c r="H531" s="20"/>
      <c r="I531" s="20"/>
      <c r="J531" s="20"/>
      <c r="K531" s="22"/>
      <c r="L531" s="20"/>
      <c r="M531" s="20"/>
      <c r="N531" s="20"/>
      <c r="O531" s="20"/>
      <c r="P531" s="20">
        <v>0</v>
      </c>
      <c r="Q531" s="20">
        <f t="shared" si="16"/>
        <v>0</v>
      </c>
      <c r="R531" s="34" t="s">
        <v>716</v>
      </c>
    </row>
    <row r="532" spans="1:17" ht="12.75">
      <c r="A532" s="73">
        <f t="shared" si="17"/>
        <v>525</v>
      </c>
      <c r="B532" s="57" t="s">
        <v>667</v>
      </c>
      <c r="C532" s="9">
        <v>21654</v>
      </c>
      <c r="D532" s="17"/>
      <c r="E532" s="20"/>
      <c r="F532" s="20"/>
      <c r="G532" s="20"/>
      <c r="H532" s="20"/>
      <c r="I532" s="20"/>
      <c r="J532" s="20"/>
      <c r="K532" s="22"/>
      <c r="L532" s="20"/>
      <c r="M532" s="20"/>
      <c r="N532" s="20"/>
      <c r="O532" s="20"/>
      <c r="P532" s="66">
        <f>ROUND(0.04*548.5,0)*3.53</f>
        <v>77.66</v>
      </c>
      <c r="Q532" s="20">
        <f t="shared" si="16"/>
        <v>77.66</v>
      </c>
    </row>
    <row r="533" spans="1:17" ht="12.75">
      <c r="A533" s="73">
        <f t="shared" si="17"/>
        <v>526</v>
      </c>
      <c r="B533" s="57" t="s">
        <v>668</v>
      </c>
      <c r="C533" s="12">
        <v>21212</v>
      </c>
      <c r="D533" s="17"/>
      <c r="E533" s="20"/>
      <c r="F533" s="20"/>
      <c r="G533" s="20"/>
      <c r="H533" s="20"/>
      <c r="I533" s="20"/>
      <c r="J533" s="20"/>
      <c r="K533" s="22"/>
      <c r="L533" s="20"/>
      <c r="M533" s="20"/>
      <c r="N533" s="20"/>
      <c r="O533" s="20"/>
      <c r="P533" s="66">
        <f>ROUND(2*0.04*548.5,0)*3.53</f>
        <v>155.32</v>
      </c>
      <c r="Q533" s="20">
        <f t="shared" si="16"/>
        <v>155.32</v>
      </c>
    </row>
    <row r="534" spans="1:17" ht="12.75">
      <c r="A534" s="73">
        <f t="shared" si="17"/>
        <v>527</v>
      </c>
      <c r="B534" s="57" t="s">
        <v>669</v>
      </c>
      <c r="C534" s="76">
        <v>21213</v>
      </c>
      <c r="D534" s="17"/>
      <c r="E534" s="20"/>
      <c r="F534" s="20"/>
      <c r="G534" s="20"/>
      <c r="H534" s="20"/>
      <c r="I534" s="20"/>
      <c r="J534" s="20"/>
      <c r="K534" s="22"/>
      <c r="L534" s="20"/>
      <c r="M534" s="20"/>
      <c r="N534" s="20"/>
      <c r="O534" s="20"/>
      <c r="P534" s="66">
        <f>ROUND(2*0.04*548.5,0)*3.53</f>
        <v>155.32</v>
      </c>
      <c r="Q534" s="20">
        <f t="shared" si="16"/>
        <v>155.32</v>
      </c>
    </row>
    <row r="535" spans="1:17" ht="12.75">
      <c r="A535" s="73">
        <f t="shared" si="17"/>
        <v>528</v>
      </c>
      <c r="B535" s="57" t="s">
        <v>670</v>
      </c>
      <c r="C535" s="12">
        <v>21214</v>
      </c>
      <c r="D535" s="17"/>
      <c r="E535" s="20"/>
      <c r="F535" s="20"/>
      <c r="G535" s="20"/>
      <c r="H535" s="20"/>
      <c r="I535" s="20"/>
      <c r="J535" s="20"/>
      <c r="K535" s="22"/>
      <c r="L535" s="20"/>
      <c r="M535" s="20"/>
      <c r="N535" s="20"/>
      <c r="O535" s="20"/>
      <c r="P535" s="66">
        <f>ROUND(0.04*548.5,0)*3.53</f>
        <v>77.66</v>
      </c>
      <c r="Q535" s="20">
        <f t="shared" si="16"/>
        <v>77.66</v>
      </c>
    </row>
    <row r="536" spans="1:17" ht="12.75">
      <c r="A536" s="73">
        <f t="shared" si="17"/>
        <v>529</v>
      </c>
      <c r="B536" s="57" t="s">
        <v>671</v>
      </c>
      <c r="C536" s="12">
        <v>21375</v>
      </c>
      <c r="D536" s="17"/>
      <c r="E536" s="20"/>
      <c r="F536" s="20"/>
      <c r="G536" s="20"/>
      <c r="H536" s="20"/>
      <c r="I536" s="20"/>
      <c r="J536" s="20"/>
      <c r="K536" s="22"/>
      <c r="L536" s="20"/>
      <c r="M536" s="20"/>
      <c r="N536" s="20"/>
      <c r="O536" s="20"/>
      <c r="P536" s="20">
        <v>0</v>
      </c>
      <c r="Q536" s="20">
        <f t="shared" si="16"/>
        <v>0</v>
      </c>
    </row>
    <row r="537" spans="1:18" ht="12.75">
      <c r="A537" s="73">
        <f t="shared" si="17"/>
        <v>530</v>
      </c>
      <c r="B537" s="228" t="s">
        <v>672</v>
      </c>
      <c r="C537" s="12">
        <v>21822</v>
      </c>
      <c r="D537" s="17"/>
      <c r="E537" s="20"/>
      <c r="F537" s="20"/>
      <c r="G537" s="20"/>
      <c r="H537" s="20"/>
      <c r="I537" s="20"/>
      <c r="J537" s="20"/>
      <c r="K537" s="22"/>
      <c r="L537" s="20"/>
      <c r="M537" s="20"/>
      <c r="N537" s="20"/>
      <c r="O537" s="20"/>
      <c r="P537" s="20">
        <v>0</v>
      </c>
      <c r="Q537" s="20">
        <f t="shared" si="16"/>
        <v>0</v>
      </c>
      <c r="R537" s="34" t="s">
        <v>715</v>
      </c>
    </row>
    <row r="538" spans="1:17" ht="12.75">
      <c r="A538" s="73">
        <f t="shared" si="17"/>
        <v>531</v>
      </c>
      <c r="B538" s="54" t="s">
        <v>673</v>
      </c>
      <c r="C538" s="12">
        <v>21386</v>
      </c>
      <c r="D538" s="45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>
        <v>0</v>
      </c>
      <c r="Q538" s="43">
        <f t="shared" si="16"/>
        <v>0</v>
      </c>
    </row>
    <row r="539" spans="1:17" ht="12.75">
      <c r="A539" s="73">
        <f t="shared" si="17"/>
        <v>532</v>
      </c>
      <c r="B539" s="57" t="s">
        <v>674</v>
      </c>
      <c r="C539" s="12">
        <v>21826</v>
      </c>
      <c r="D539" s="17"/>
      <c r="E539" s="20"/>
      <c r="F539" s="20"/>
      <c r="G539" s="20"/>
      <c r="H539" s="20"/>
      <c r="I539" s="20"/>
      <c r="J539" s="20"/>
      <c r="K539" s="22"/>
      <c r="L539" s="20"/>
      <c r="M539" s="20"/>
      <c r="N539" s="20"/>
      <c r="O539" s="20"/>
      <c r="P539" s="20">
        <v>0</v>
      </c>
      <c r="Q539" s="20">
        <f t="shared" si="16"/>
        <v>0</v>
      </c>
    </row>
    <row r="540" spans="1:231" s="44" customFormat="1" ht="12.75">
      <c r="A540" s="73">
        <f t="shared" si="17"/>
        <v>533</v>
      </c>
      <c r="B540" s="57" t="s">
        <v>675</v>
      </c>
      <c r="C540" s="12">
        <v>21834</v>
      </c>
      <c r="D540" s="17"/>
      <c r="E540" s="20"/>
      <c r="F540" s="20"/>
      <c r="G540" s="20"/>
      <c r="H540" s="20"/>
      <c r="I540" s="20"/>
      <c r="J540" s="20"/>
      <c r="K540" s="22"/>
      <c r="L540" s="20"/>
      <c r="M540" s="20"/>
      <c r="N540" s="20"/>
      <c r="O540" s="20"/>
      <c r="P540" s="20">
        <v>0</v>
      </c>
      <c r="Q540" s="20">
        <f t="shared" si="16"/>
        <v>0</v>
      </c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</row>
    <row r="541" spans="1:231" s="44" customFormat="1" ht="12.75">
      <c r="A541" s="73">
        <f t="shared" si="17"/>
        <v>534</v>
      </c>
      <c r="B541" s="57" t="s">
        <v>676</v>
      </c>
      <c r="C541" s="12">
        <v>12265</v>
      </c>
      <c r="D541" s="17" t="s">
        <v>717</v>
      </c>
      <c r="E541" s="20"/>
      <c r="F541" s="20"/>
      <c r="G541" s="20"/>
      <c r="H541" s="20"/>
      <c r="I541" s="20"/>
      <c r="J541" s="20"/>
      <c r="K541" s="22"/>
      <c r="L541" s="20"/>
      <c r="M541" s="20"/>
      <c r="N541" s="20"/>
      <c r="O541" s="20"/>
      <c r="P541" s="20"/>
      <c r="Q541" s="20">
        <f t="shared" si="16"/>
        <v>0</v>
      </c>
      <c r="R541" s="34" t="s">
        <v>716</v>
      </c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</row>
    <row r="542" spans="1:17" ht="12.75">
      <c r="A542" s="73">
        <f t="shared" si="17"/>
        <v>535</v>
      </c>
      <c r="B542" s="57" t="s">
        <v>677</v>
      </c>
      <c r="C542" s="12">
        <v>21663</v>
      </c>
      <c r="D542" s="17"/>
      <c r="E542" s="20"/>
      <c r="F542" s="20"/>
      <c r="G542" s="20"/>
      <c r="H542" s="20"/>
      <c r="I542" s="20"/>
      <c r="J542" s="20"/>
      <c r="K542" s="22"/>
      <c r="L542" s="20"/>
      <c r="M542" s="20"/>
      <c r="N542" s="20"/>
      <c r="O542" s="20"/>
      <c r="P542" s="66">
        <f>ROUND(2*0.04*548.5,0)*3.53</f>
        <v>155.32</v>
      </c>
      <c r="Q542" s="20">
        <f t="shared" si="16"/>
        <v>155.32</v>
      </c>
    </row>
    <row r="543" spans="1:17" ht="12.75">
      <c r="A543" s="73">
        <f t="shared" si="17"/>
        <v>536</v>
      </c>
      <c r="B543" s="57" t="s">
        <v>678</v>
      </c>
      <c r="C543" s="12">
        <v>21666</v>
      </c>
      <c r="D543" s="17"/>
      <c r="E543" s="20"/>
      <c r="F543" s="20"/>
      <c r="G543" s="20"/>
      <c r="H543" s="20"/>
      <c r="I543" s="20"/>
      <c r="J543" s="20"/>
      <c r="K543" s="22"/>
      <c r="L543" s="20"/>
      <c r="M543" s="20"/>
      <c r="N543" s="20"/>
      <c r="O543" s="20"/>
      <c r="P543" s="66">
        <f>ROUND(0.04*548.5,0)*3.53</f>
        <v>77.66</v>
      </c>
      <c r="Q543" s="20">
        <f t="shared" si="16"/>
        <v>77.66</v>
      </c>
    </row>
    <row r="544" spans="1:18" ht="12.75">
      <c r="A544" s="73">
        <f t="shared" si="17"/>
        <v>537</v>
      </c>
      <c r="B544" s="57" t="s">
        <v>679</v>
      </c>
      <c r="C544" s="12">
        <v>11713</v>
      </c>
      <c r="D544" s="17" t="s">
        <v>718</v>
      </c>
      <c r="E544" s="20"/>
      <c r="F544" s="20"/>
      <c r="G544" s="20"/>
      <c r="H544" s="20"/>
      <c r="I544" s="20"/>
      <c r="J544" s="20"/>
      <c r="K544" s="22"/>
      <c r="L544" s="20"/>
      <c r="M544" s="20"/>
      <c r="N544" s="20"/>
      <c r="O544" s="20"/>
      <c r="P544" s="20">
        <v>0</v>
      </c>
      <c r="Q544" s="20">
        <f t="shared" si="16"/>
        <v>0</v>
      </c>
      <c r="R544" s="34" t="s">
        <v>719</v>
      </c>
    </row>
    <row r="545" spans="1:18" ht="12.75">
      <c r="A545" s="73">
        <f t="shared" si="17"/>
        <v>538</v>
      </c>
      <c r="B545" s="57" t="s">
        <v>680</v>
      </c>
      <c r="C545" s="12">
        <v>10014</v>
      </c>
      <c r="D545" s="17" t="s">
        <v>717</v>
      </c>
      <c r="E545" s="20"/>
      <c r="F545" s="20"/>
      <c r="G545" s="20"/>
      <c r="H545" s="20"/>
      <c r="I545" s="20"/>
      <c r="J545" s="20"/>
      <c r="K545" s="22"/>
      <c r="L545" s="20"/>
      <c r="M545" s="20"/>
      <c r="N545" s="20"/>
      <c r="O545" s="20"/>
      <c r="P545" s="66">
        <f>ROUND(2*0.04*548.5,0)*3.53</f>
        <v>155.32</v>
      </c>
      <c r="Q545" s="20">
        <f t="shared" si="16"/>
        <v>155.32</v>
      </c>
      <c r="R545" s="34" t="s">
        <v>716</v>
      </c>
    </row>
    <row r="546" spans="1:18" ht="12.75">
      <c r="A546" s="73">
        <f t="shared" si="17"/>
        <v>539</v>
      </c>
      <c r="B546" s="57" t="s">
        <v>681</v>
      </c>
      <c r="C546" s="12">
        <v>12625</v>
      </c>
      <c r="D546" s="17" t="s">
        <v>717</v>
      </c>
      <c r="E546" s="20"/>
      <c r="F546" s="20"/>
      <c r="G546" s="20"/>
      <c r="H546" s="20"/>
      <c r="I546" s="20"/>
      <c r="J546" s="20"/>
      <c r="K546" s="22"/>
      <c r="L546" s="20"/>
      <c r="M546" s="20"/>
      <c r="N546" s="20"/>
      <c r="O546" s="20"/>
      <c r="P546" s="20">
        <v>0</v>
      </c>
      <c r="Q546" s="20">
        <f t="shared" si="16"/>
        <v>0</v>
      </c>
      <c r="R546" s="34" t="s">
        <v>716</v>
      </c>
    </row>
    <row r="547" spans="1:17" ht="12.75">
      <c r="A547" s="73">
        <f t="shared" si="17"/>
        <v>540</v>
      </c>
      <c r="B547" s="57" t="s">
        <v>682</v>
      </c>
      <c r="C547" s="12">
        <v>21408</v>
      </c>
      <c r="D547" s="17"/>
      <c r="E547" s="20"/>
      <c r="F547" s="20"/>
      <c r="G547" s="20"/>
      <c r="H547" s="20"/>
      <c r="I547" s="20"/>
      <c r="J547" s="20"/>
      <c r="K547" s="22"/>
      <c r="L547" s="20"/>
      <c r="M547" s="20"/>
      <c r="N547" s="20"/>
      <c r="O547" s="20"/>
      <c r="P547" s="66">
        <f>ROUND(0.04*548.5,0)*3.53</f>
        <v>77.66</v>
      </c>
      <c r="Q547" s="20">
        <f t="shared" si="16"/>
        <v>77.66</v>
      </c>
    </row>
    <row r="548" spans="1:231" s="44" customFormat="1" ht="12.75">
      <c r="A548" s="73">
        <f t="shared" si="17"/>
        <v>541</v>
      </c>
      <c r="B548" s="57" t="s">
        <v>683</v>
      </c>
      <c r="C548" s="9">
        <v>21412</v>
      </c>
      <c r="D548" s="17"/>
      <c r="E548" s="20"/>
      <c r="F548" s="20"/>
      <c r="G548" s="20"/>
      <c r="H548" s="20"/>
      <c r="I548" s="20"/>
      <c r="J548" s="20"/>
      <c r="K548" s="22"/>
      <c r="L548" s="20"/>
      <c r="M548" s="20"/>
      <c r="N548" s="20"/>
      <c r="O548" s="20"/>
      <c r="P548" s="20">
        <v>0</v>
      </c>
      <c r="Q548" s="20">
        <f t="shared" si="16"/>
        <v>0</v>
      </c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</row>
    <row r="549" spans="1:17" ht="12.75">
      <c r="A549" s="73">
        <f t="shared" si="17"/>
        <v>542</v>
      </c>
      <c r="B549" s="57" t="s">
        <v>684</v>
      </c>
      <c r="C549" s="9">
        <v>21435</v>
      </c>
      <c r="D549" s="17"/>
      <c r="E549" s="20"/>
      <c r="F549" s="20"/>
      <c r="G549" s="20"/>
      <c r="H549" s="20"/>
      <c r="I549" s="20"/>
      <c r="J549" s="20"/>
      <c r="K549" s="22"/>
      <c r="L549" s="20"/>
      <c r="M549" s="20"/>
      <c r="N549" s="20"/>
      <c r="O549" s="20"/>
      <c r="P549" s="20">
        <v>0</v>
      </c>
      <c r="Q549" s="20">
        <f t="shared" si="16"/>
        <v>0</v>
      </c>
    </row>
    <row r="550" spans="1:17" ht="12.75">
      <c r="A550" s="73">
        <f t="shared" si="17"/>
        <v>543</v>
      </c>
      <c r="B550" s="57" t="s">
        <v>630</v>
      </c>
      <c r="C550" s="9">
        <v>21437</v>
      </c>
      <c r="D550" s="17"/>
      <c r="E550" s="20"/>
      <c r="F550" s="20"/>
      <c r="G550" s="20"/>
      <c r="H550" s="20"/>
      <c r="I550" s="20"/>
      <c r="J550" s="20"/>
      <c r="K550" s="22"/>
      <c r="L550" s="20"/>
      <c r="M550" s="20"/>
      <c r="N550" s="20"/>
      <c r="O550" s="20"/>
      <c r="P550" s="66">
        <f>ROUND(2*0.04*548.5,0)*3.53</f>
        <v>155.32</v>
      </c>
      <c r="Q550" s="20">
        <f t="shared" si="16"/>
        <v>155.32</v>
      </c>
    </row>
    <row r="551" spans="1:18" ht="12.75">
      <c r="A551" s="73">
        <f t="shared" si="17"/>
        <v>544</v>
      </c>
      <c r="B551" s="57" t="s">
        <v>685</v>
      </c>
      <c r="C551" s="77">
        <v>12647</v>
      </c>
      <c r="D551" s="17" t="s">
        <v>717</v>
      </c>
      <c r="E551" s="20"/>
      <c r="F551" s="20"/>
      <c r="G551" s="20"/>
      <c r="H551" s="20"/>
      <c r="I551" s="20"/>
      <c r="J551" s="20"/>
      <c r="K551" s="22"/>
      <c r="L551" s="20"/>
      <c r="M551" s="20"/>
      <c r="N551" s="20"/>
      <c r="O551" s="20"/>
      <c r="P551" s="20">
        <v>0</v>
      </c>
      <c r="Q551" s="20">
        <f t="shared" si="16"/>
        <v>0</v>
      </c>
      <c r="R551" s="34" t="s">
        <v>716</v>
      </c>
    </row>
    <row r="552" spans="1:18" ht="12.75">
      <c r="A552" s="73">
        <f t="shared" si="17"/>
        <v>545</v>
      </c>
      <c r="B552" s="57" t="s">
        <v>686</v>
      </c>
      <c r="C552" s="12">
        <v>12282</v>
      </c>
      <c r="D552" s="17" t="s">
        <v>717</v>
      </c>
      <c r="E552" s="20"/>
      <c r="F552" s="20"/>
      <c r="G552" s="20"/>
      <c r="H552" s="20"/>
      <c r="I552" s="20"/>
      <c r="J552" s="20"/>
      <c r="K552" s="22"/>
      <c r="L552" s="20"/>
      <c r="M552" s="20"/>
      <c r="N552" s="20"/>
      <c r="O552" s="20"/>
      <c r="P552" s="66">
        <f>ROUND(2*0.04*548.5,0)*3.53</f>
        <v>155.32</v>
      </c>
      <c r="Q552" s="20">
        <f t="shared" si="16"/>
        <v>155.32</v>
      </c>
      <c r="R552" s="34" t="s">
        <v>716</v>
      </c>
    </row>
    <row r="553" spans="1:18" ht="12.75">
      <c r="A553" s="73">
        <f t="shared" si="17"/>
        <v>546</v>
      </c>
      <c r="B553" s="57" t="s">
        <v>687</v>
      </c>
      <c r="C553" s="12">
        <v>23653</v>
      </c>
      <c r="D553" s="17" t="s">
        <v>717</v>
      </c>
      <c r="E553" s="20"/>
      <c r="F553" s="20"/>
      <c r="G553" s="20"/>
      <c r="H553" s="20"/>
      <c r="I553" s="20"/>
      <c r="J553" s="20"/>
      <c r="K553" s="22"/>
      <c r="L553" s="20"/>
      <c r="M553" s="20"/>
      <c r="N553" s="20"/>
      <c r="O553" s="20"/>
      <c r="P553" s="20"/>
      <c r="Q553" s="20">
        <f t="shared" si="16"/>
        <v>0</v>
      </c>
      <c r="R553" s="34" t="s">
        <v>723</v>
      </c>
    </row>
    <row r="554" spans="1:18" ht="12.75">
      <c r="A554" s="73">
        <f t="shared" si="17"/>
        <v>547</v>
      </c>
      <c r="B554" s="57" t="s">
        <v>688</v>
      </c>
      <c r="C554" s="12">
        <v>23021</v>
      </c>
      <c r="D554" s="17" t="s">
        <v>717</v>
      </c>
      <c r="E554" s="20"/>
      <c r="F554" s="20"/>
      <c r="G554" s="20"/>
      <c r="H554" s="20"/>
      <c r="I554" s="20"/>
      <c r="J554" s="20"/>
      <c r="K554" s="22"/>
      <c r="L554" s="20"/>
      <c r="M554" s="20"/>
      <c r="N554" s="20"/>
      <c r="O554" s="20"/>
      <c r="P554" s="20">
        <v>0</v>
      </c>
      <c r="Q554" s="20">
        <f t="shared" si="16"/>
        <v>0</v>
      </c>
      <c r="R554" s="34" t="s">
        <v>723</v>
      </c>
    </row>
    <row r="555" spans="1:18" ht="12.75">
      <c r="A555" s="73">
        <f t="shared" si="17"/>
        <v>548</v>
      </c>
      <c r="B555" s="57" t="s">
        <v>689</v>
      </c>
      <c r="C555" s="12">
        <v>12290</v>
      </c>
      <c r="D555" s="17" t="s">
        <v>717</v>
      </c>
      <c r="E555" s="20"/>
      <c r="F555" s="20"/>
      <c r="G555" s="20"/>
      <c r="H555" s="20"/>
      <c r="I555" s="20"/>
      <c r="J555" s="20"/>
      <c r="K555" s="22"/>
      <c r="L555" s="20"/>
      <c r="M555" s="20"/>
      <c r="N555" s="20"/>
      <c r="O555" s="20"/>
      <c r="P555" s="66">
        <f>ROUND(2*0.04*548.5,0)*3.53</f>
        <v>155.32</v>
      </c>
      <c r="Q555" s="20">
        <f t="shared" si="16"/>
        <v>155.32</v>
      </c>
      <c r="R555" s="34" t="s">
        <v>716</v>
      </c>
    </row>
    <row r="556" spans="1:18" ht="12.75">
      <c r="A556" s="73">
        <f t="shared" si="17"/>
        <v>549</v>
      </c>
      <c r="B556" s="57" t="s">
        <v>690</v>
      </c>
      <c r="C556" s="12">
        <v>23708</v>
      </c>
      <c r="D556" s="17" t="s">
        <v>717</v>
      </c>
      <c r="E556" s="20"/>
      <c r="F556" s="20"/>
      <c r="G556" s="20"/>
      <c r="H556" s="20"/>
      <c r="I556" s="20"/>
      <c r="J556" s="20"/>
      <c r="K556" s="22"/>
      <c r="L556" s="20"/>
      <c r="M556" s="20"/>
      <c r="N556" s="20"/>
      <c r="O556" s="20"/>
      <c r="P556" s="66">
        <f>ROUND((0.025*548.5)+(0.04*548.5),0)*3.53</f>
        <v>127.08</v>
      </c>
      <c r="Q556" s="20">
        <f t="shared" si="16"/>
        <v>127.08</v>
      </c>
      <c r="R556" s="34" t="s">
        <v>723</v>
      </c>
    </row>
    <row r="557" spans="1:17" ht="12.75">
      <c r="A557" s="73">
        <f t="shared" si="17"/>
        <v>550</v>
      </c>
      <c r="B557" s="57" t="s">
        <v>691</v>
      </c>
      <c r="C557" s="9">
        <v>21467</v>
      </c>
      <c r="D557" s="17"/>
      <c r="E557" s="20"/>
      <c r="F557" s="20"/>
      <c r="G557" s="20"/>
      <c r="H557" s="20"/>
      <c r="I557" s="20"/>
      <c r="J557" s="20"/>
      <c r="K557" s="22"/>
      <c r="L557" s="20"/>
      <c r="M557" s="20"/>
      <c r="N557" s="20"/>
      <c r="O557" s="20"/>
      <c r="P557" s="20">
        <v>0</v>
      </c>
      <c r="Q557" s="20">
        <f t="shared" si="16"/>
        <v>0</v>
      </c>
    </row>
    <row r="558" spans="1:18" ht="12.75">
      <c r="A558" s="73">
        <f t="shared" si="17"/>
        <v>551</v>
      </c>
      <c r="B558" s="57" t="s">
        <v>692</v>
      </c>
      <c r="C558" s="12">
        <v>23724</v>
      </c>
      <c r="D558" s="17" t="s">
        <v>717</v>
      </c>
      <c r="E558" s="20"/>
      <c r="F558" s="20"/>
      <c r="G558" s="20"/>
      <c r="H558" s="20"/>
      <c r="I558" s="20"/>
      <c r="J558" s="20"/>
      <c r="K558" s="22"/>
      <c r="L558" s="20"/>
      <c r="M558" s="20"/>
      <c r="N558" s="20"/>
      <c r="O558" s="20"/>
      <c r="P558" s="66">
        <f>ROUND(0.04*548.5,0)*3.53</f>
        <v>77.66</v>
      </c>
      <c r="Q558" s="20">
        <f t="shared" si="16"/>
        <v>77.66</v>
      </c>
      <c r="R558" s="34" t="s">
        <v>723</v>
      </c>
    </row>
    <row r="559" spans="1:17" ht="12.75">
      <c r="A559" s="73">
        <f t="shared" si="17"/>
        <v>552</v>
      </c>
      <c r="B559" s="57" t="s">
        <v>693</v>
      </c>
      <c r="C559" s="9">
        <v>21728</v>
      </c>
      <c r="D559" s="17"/>
      <c r="E559" s="20"/>
      <c r="F559" s="20"/>
      <c r="G559" s="20"/>
      <c r="H559" s="20"/>
      <c r="I559" s="20"/>
      <c r="J559" s="20"/>
      <c r="K559" s="22"/>
      <c r="L559" s="20"/>
      <c r="M559" s="20"/>
      <c r="N559" s="20"/>
      <c r="O559" s="20"/>
      <c r="P559" s="66">
        <f>ROUND(0.04*548.5,0)*3.53</f>
        <v>77.66</v>
      </c>
      <c r="Q559" s="20">
        <f t="shared" si="16"/>
        <v>77.66</v>
      </c>
    </row>
    <row r="560" spans="1:17" ht="12.75">
      <c r="A560" s="73">
        <f t="shared" si="17"/>
        <v>553</v>
      </c>
      <c r="B560" s="57" t="s">
        <v>694</v>
      </c>
      <c r="C560" s="9">
        <v>21730</v>
      </c>
      <c r="D560" s="17"/>
      <c r="E560" s="20"/>
      <c r="F560" s="20"/>
      <c r="G560" s="20"/>
      <c r="H560" s="20"/>
      <c r="I560" s="20"/>
      <c r="J560" s="20"/>
      <c r="K560" s="22"/>
      <c r="L560" s="20"/>
      <c r="M560" s="20"/>
      <c r="N560" s="20"/>
      <c r="O560" s="20"/>
      <c r="P560" s="66">
        <f>ROUND(0.04*548.5,0)*3.53</f>
        <v>77.66</v>
      </c>
      <c r="Q560" s="20">
        <f t="shared" si="16"/>
        <v>77.66</v>
      </c>
    </row>
    <row r="561" spans="1:18" ht="12.75">
      <c r="A561" s="73">
        <f t="shared" si="17"/>
        <v>554</v>
      </c>
      <c r="B561" s="57" t="s">
        <v>695</v>
      </c>
      <c r="C561" s="9">
        <v>12298</v>
      </c>
      <c r="D561" s="17" t="s">
        <v>717</v>
      </c>
      <c r="E561" s="20"/>
      <c r="F561" s="20"/>
      <c r="G561" s="20"/>
      <c r="H561" s="20"/>
      <c r="I561" s="20"/>
      <c r="J561" s="20"/>
      <c r="K561" s="22"/>
      <c r="L561" s="20"/>
      <c r="M561" s="20"/>
      <c r="N561" s="20"/>
      <c r="O561" s="20"/>
      <c r="P561" s="20">
        <v>0</v>
      </c>
      <c r="Q561" s="20">
        <f t="shared" si="16"/>
        <v>0</v>
      </c>
      <c r="R561" s="34" t="s">
        <v>716</v>
      </c>
    </row>
    <row r="562" spans="1:17" ht="12.75">
      <c r="A562" s="73">
        <f t="shared" si="17"/>
        <v>555</v>
      </c>
      <c r="B562" s="57" t="s">
        <v>696</v>
      </c>
      <c r="C562" s="9">
        <v>21743</v>
      </c>
      <c r="D562" s="17"/>
      <c r="E562" s="20"/>
      <c r="F562" s="20"/>
      <c r="G562" s="20"/>
      <c r="H562" s="20"/>
      <c r="I562" s="20"/>
      <c r="J562" s="20"/>
      <c r="K562" s="22"/>
      <c r="L562" s="20"/>
      <c r="M562" s="20"/>
      <c r="N562" s="20"/>
      <c r="O562" s="20"/>
      <c r="P562" s="66">
        <f>ROUND(0.04*548.5,0)*3.53</f>
        <v>77.66</v>
      </c>
      <c r="Q562" s="20">
        <f aca="true" t="shared" si="18" ref="Q562:Q573">E562+F562+G562+H562+I562+J562+K562+L562+M562+N562+O562+P562</f>
        <v>77.66</v>
      </c>
    </row>
    <row r="563" spans="1:17" ht="12.75">
      <c r="A563" s="73">
        <f aca="true" t="shared" si="19" ref="A563:A570">A562+1</f>
        <v>556</v>
      </c>
      <c r="B563" s="57" t="s">
        <v>697</v>
      </c>
      <c r="C563" s="9">
        <v>10013</v>
      </c>
      <c r="D563" s="17"/>
      <c r="E563" s="20"/>
      <c r="F563" s="20"/>
      <c r="G563" s="20"/>
      <c r="H563" s="20"/>
      <c r="I563" s="20"/>
      <c r="J563" s="20"/>
      <c r="K563" s="22"/>
      <c r="L563" s="20"/>
      <c r="M563" s="20"/>
      <c r="N563" s="20"/>
      <c r="O563" s="20"/>
      <c r="P563" s="66">
        <f>ROUND(0.04*548.5,0)*3.53</f>
        <v>77.66</v>
      </c>
      <c r="Q563" s="20">
        <f t="shared" si="18"/>
        <v>77.66</v>
      </c>
    </row>
    <row r="564" spans="1:17" ht="12.75">
      <c r="A564" s="73">
        <f t="shared" si="19"/>
        <v>557</v>
      </c>
      <c r="B564" s="41" t="s">
        <v>699</v>
      </c>
      <c r="C564" s="9">
        <v>21761</v>
      </c>
      <c r="D564" s="19"/>
      <c r="E564" s="23"/>
      <c r="F564" s="23"/>
      <c r="G564" s="23"/>
      <c r="H564" s="23"/>
      <c r="I564" s="23"/>
      <c r="J564" s="23"/>
      <c r="K564" s="38"/>
      <c r="L564" s="23"/>
      <c r="M564" s="23"/>
      <c r="N564" s="23"/>
      <c r="O564" s="23"/>
      <c r="P564" s="66">
        <f>ROUND(0.04*548.5,0)*3.53</f>
        <v>77.66</v>
      </c>
      <c r="Q564" s="20">
        <f t="shared" si="18"/>
        <v>77.66</v>
      </c>
    </row>
    <row r="565" spans="1:17" ht="12.75">
      <c r="A565" s="73">
        <f t="shared" si="19"/>
        <v>558</v>
      </c>
      <c r="B565" s="41" t="s">
        <v>700</v>
      </c>
      <c r="C565" s="9">
        <v>21798</v>
      </c>
      <c r="D565" s="19"/>
      <c r="E565" s="23"/>
      <c r="F565" s="23"/>
      <c r="G565" s="23"/>
      <c r="H565" s="23"/>
      <c r="I565" s="23"/>
      <c r="J565" s="23"/>
      <c r="K565" s="38"/>
      <c r="L565" s="23"/>
      <c r="M565" s="23"/>
      <c r="N565" s="23"/>
      <c r="O565" s="23"/>
      <c r="P565" s="66">
        <f>ROUND(0.04*548.5,0)*3.53</f>
        <v>77.66</v>
      </c>
      <c r="Q565" s="20">
        <f t="shared" si="18"/>
        <v>77.66</v>
      </c>
    </row>
    <row r="566" spans="1:18" ht="12.75">
      <c r="A566" s="73">
        <f t="shared" si="19"/>
        <v>559</v>
      </c>
      <c r="B566" s="41" t="s">
        <v>701</v>
      </c>
      <c r="C566" s="9">
        <v>12701</v>
      </c>
      <c r="D566" s="17" t="s">
        <v>717</v>
      </c>
      <c r="E566" s="23"/>
      <c r="F566" s="23"/>
      <c r="G566" s="23"/>
      <c r="H566" s="23"/>
      <c r="I566" s="23"/>
      <c r="J566" s="23"/>
      <c r="K566" s="38"/>
      <c r="L566" s="23"/>
      <c r="M566" s="23"/>
      <c r="N566" s="23"/>
      <c r="O566" s="23"/>
      <c r="P566" s="66">
        <f>ROUND(4*0.04*548.5,0)*3.53</f>
        <v>310.64</v>
      </c>
      <c r="Q566" s="20">
        <f t="shared" si="18"/>
        <v>310.64</v>
      </c>
      <c r="R566" s="34" t="s">
        <v>716</v>
      </c>
    </row>
    <row r="567" spans="1:17" ht="12.75">
      <c r="A567" s="73">
        <f t="shared" si="19"/>
        <v>560</v>
      </c>
      <c r="B567" s="41" t="s">
        <v>702</v>
      </c>
      <c r="C567" s="77">
        <v>21501</v>
      </c>
      <c r="D567" s="19"/>
      <c r="E567" s="23"/>
      <c r="F567" s="23"/>
      <c r="G567" s="23"/>
      <c r="H567" s="23"/>
      <c r="I567" s="23"/>
      <c r="J567" s="23"/>
      <c r="K567" s="38"/>
      <c r="L567" s="23"/>
      <c r="M567" s="23"/>
      <c r="N567" s="23"/>
      <c r="O567" s="23"/>
      <c r="P567" s="23">
        <v>0</v>
      </c>
      <c r="Q567" s="20">
        <f t="shared" si="18"/>
        <v>0</v>
      </c>
    </row>
    <row r="568" spans="1:17" ht="12.75">
      <c r="A568" s="73">
        <f t="shared" si="19"/>
        <v>561</v>
      </c>
      <c r="B568" s="41" t="s">
        <v>703</v>
      </c>
      <c r="C568" s="12">
        <v>21507</v>
      </c>
      <c r="D568" s="19"/>
      <c r="E568" s="23"/>
      <c r="F568" s="23"/>
      <c r="G568" s="23"/>
      <c r="H568" s="23"/>
      <c r="I568" s="23"/>
      <c r="J568" s="23"/>
      <c r="K568" s="38"/>
      <c r="L568" s="23"/>
      <c r="M568" s="23"/>
      <c r="N568" s="23"/>
      <c r="O568" s="23"/>
      <c r="P568" s="23">
        <v>0</v>
      </c>
      <c r="Q568" s="20">
        <f t="shared" si="18"/>
        <v>0</v>
      </c>
    </row>
    <row r="569" spans="1:17" ht="12.75">
      <c r="A569" s="73">
        <f t="shared" si="19"/>
        <v>562</v>
      </c>
      <c r="B569" s="41" t="s">
        <v>704</v>
      </c>
      <c r="C569" s="12">
        <v>21510</v>
      </c>
      <c r="D569" s="19"/>
      <c r="E569" s="23"/>
      <c r="F569" s="23"/>
      <c r="G569" s="23"/>
      <c r="H569" s="23"/>
      <c r="I569" s="23"/>
      <c r="J569" s="23"/>
      <c r="K569" s="38"/>
      <c r="L569" s="23"/>
      <c r="M569" s="23"/>
      <c r="N569" s="23"/>
      <c r="O569" s="23"/>
      <c r="P569" s="23">
        <v>0</v>
      </c>
      <c r="Q569" s="20">
        <f t="shared" si="18"/>
        <v>0</v>
      </c>
    </row>
    <row r="570" spans="1:18" ht="12.75">
      <c r="A570" s="73">
        <f t="shared" si="19"/>
        <v>563</v>
      </c>
      <c r="B570" s="41" t="s">
        <v>705</v>
      </c>
      <c r="C570" s="77">
        <v>22178</v>
      </c>
      <c r="D570" s="17" t="s">
        <v>717</v>
      </c>
      <c r="E570" s="23"/>
      <c r="F570" s="23"/>
      <c r="G570" s="23"/>
      <c r="H570" s="23"/>
      <c r="I570" s="23"/>
      <c r="J570" s="23"/>
      <c r="K570" s="38"/>
      <c r="L570" s="23"/>
      <c r="M570" s="23"/>
      <c r="N570" s="23"/>
      <c r="O570" s="23"/>
      <c r="P570" s="66">
        <f>ROUND(4*0.04*548.5,0)*3.53</f>
        <v>310.64</v>
      </c>
      <c r="Q570" s="20">
        <f t="shared" si="18"/>
        <v>310.64</v>
      </c>
      <c r="R570" s="34" t="s">
        <v>716</v>
      </c>
    </row>
    <row r="571" spans="1:17" ht="12.75">
      <c r="A571" s="73"/>
      <c r="B571" s="9" t="s">
        <v>598</v>
      </c>
      <c r="C571" s="9"/>
      <c r="D571" s="17"/>
      <c r="E571" s="24">
        <f>SUM(E1:E570)</f>
        <v>1654623.0199999986</v>
      </c>
      <c r="F571" s="24">
        <f aca="true" t="shared" si="20" ref="F571:P571">SUM(F1:F570)</f>
        <v>1314102.0799999977</v>
      </c>
      <c r="G571" s="24">
        <f t="shared" si="20"/>
        <v>1146324.9100000013</v>
      </c>
      <c r="H571" s="24">
        <f t="shared" si="20"/>
        <v>1037738.6899999992</v>
      </c>
      <c r="I571" s="24">
        <f t="shared" si="20"/>
        <v>997366.5430000011</v>
      </c>
      <c r="J571" s="24">
        <f t="shared" si="20"/>
        <v>939421.290000001</v>
      </c>
      <c r="K571" s="24">
        <f t="shared" si="20"/>
        <v>1116940.9500000007</v>
      </c>
      <c r="L571" s="24">
        <f t="shared" si="20"/>
        <v>1077136.2600000035</v>
      </c>
      <c r="M571" s="24">
        <f t="shared" si="20"/>
        <v>1175206.1200000008</v>
      </c>
      <c r="N571" s="24">
        <f t="shared" si="20"/>
        <v>1274788.4000000022</v>
      </c>
      <c r="O571" s="24">
        <f t="shared" si="20"/>
        <v>1397953</v>
      </c>
      <c r="P571" s="24">
        <f t="shared" si="20"/>
        <v>1364555.779999996</v>
      </c>
      <c r="Q571" s="24">
        <f t="shared" si="18"/>
        <v>14496157.043000003</v>
      </c>
    </row>
    <row r="572" spans="2:17" ht="12.75">
      <c r="B572" s="75" t="s">
        <v>66</v>
      </c>
      <c r="E572">
        <v>1305449.09</v>
      </c>
      <c r="F572">
        <v>1181399.02</v>
      </c>
      <c r="G572">
        <v>940914.87</v>
      </c>
      <c r="H572">
        <v>812661.1</v>
      </c>
      <c r="I572">
        <v>789524.03</v>
      </c>
      <c r="J572">
        <v>758904.38</v>
      </c>
      <c r="K572" s="34">
        <v>854225.11</v>
      </c>
      <c r="L572" s="34">
        <v>895124.5</v>
      </c>
      <c r="M572">
        <f>70760.18+918979.7</f>
        <v>989739.8799999999</v>
      </c>
      <c r="O572">
        <v>1115052.77</v>
      </c>
      <c r="P572">
        <v>1084110.6</v>
      </c>
      <c r="Q572" s="24">
        <f t="shared" si="18"/>
        <v>10727105.35</v>
      </c>
    </row>
    <row r="573" spans="2:17" ht="12.75">
      <c r="B573" s="75" t="s">
        <v>706</v>
      </c>
      <c r="E573">
        <v>340263.8</v>
      </c>
      <c r="F573">
        <v>279633.4</v>
      </c>
      <c r="G573">
        <v>219494.8</v>
      </c>
      <c r="H573">
        <v>231132.6</v>
      </c>
      <c r="I573">
        <v>223557.8</v>
      </c>
      <c r="J573">
        <v>189811.2</v>
      </c>
      <c r="K573" s="34">
        <v>260463.6</v>
      </c>
      <c r="L573" s="34">
        <v>182957.8</v>
      </c>
      <c r="M573">
        <v>258506.8</v>
      </c>
      <c r="O573">
        <v>260757.85</v>
      </c>
      <c r="P573">
        <v>280062.2</v>
      </c>
      <c r="Q573" s="24">
        <f t="shared" si="18"/>
        <v>2726641.8500000006</v>
      </c>
    </row>
    <row r="574" spans="2:17" ht="12.75">
      <c r="B574" s="75" t="s">
        <v>598</v>
      </c>
      <c r="E574">
        <f>E572+E573</f>
        <v>1645712.8900000001</v>
      </c>
      <c r="F574">
        <f aca="true" t="shared" si="21" ref="F574:Q574">F572+F573</f>
        <v>1461032.42</v>
      </c>
      <c r="G574">
        <f t="shared" si="21"/>
        <v>1160409.67</v>
      </c>
      <c r="H574">
        <f t="shared" si="21"/>
        <v>1043793.7</v>
      </c>
      <c r="I574">
        <f t="shared" si="21"/>
        <v>1013081.8300000001</v>
      </c>
      <c r="J574">
        <f t="shared" si="21"/>
        <v>948715.5800000001</v>
      </c>
      <c r="K574">
        <f t="shared" si="21"/>
        <v>1114688.71</v>
      </c>
      <c r="L574">
        <f t="shared" si="21"/>
        <v>1078082.3</v>
      </c>
      <c r="M574">
        <f t="shared" si="21"/>
        <v>1248246.68</v>
      </c>
      <c r="N574">
        <f t="shared" si="21"/>
        <v>0</v>
      </c>
      <c r="O574">
        <f t="shared" si="21"/>
        <v>1375810.62</v>
      </c>
      <c r="P574">
        <f t="shared" si="21"/>
        <v>1364172.8</v>
      </c>
      <c r="Q574">
        <f t="shared" si="21"/>
        <v>13453747.2</v>
      </c>
    </row>
    <row r="575" spans="2:17" ht="12.75">
      <c r="B575" s="75" t="s">
        <v>707</v>
      </c>
      <c r="E575">
        <v>121567.74</v>
      </c>
      <c r="F575">
        <v>121429.35</v>
      </c>
      <c r="G575">
        <v>113375.57</v>
      </c>
      <c r="H575">
        <v>108651.61</v>
      </c>
      <c r="I575">
        <v>109297.6</v>
      </c>
      <c r="J575">
        <v>97719.55</v>
      </c>
      <c r="K575">
        <v>104935.95</v>
      </c>
      <c r="L575">
        <v>98088.83</v>
      </c>
      <c r="M575">
        <v>53960.24</v>
      </c>
      <c r="P575">
        <v>88922.31</v>
      </c>
      <c r="Q575" s="24">
        <f>E575+F575+G575+H575+I575+J575+K575+L575+M575+N575+O575+P575</f>
        <v>1017948.75</v>
      </c>
    </row>
    <row r="576" spans="2:17" ht="12.75">
      <c r="B576" s="75" t="s">
        <v>67</v>
      </c>
      <c r="E576">
        <v>2440.8</v>
      </c>
      <c r="F576">
        <v>1956.03</v>
      </c>
      <c r="G576">
        <v>1956.03</v>
      </c>
      <c r="H576">
        <v>1054.29</v>
      </c>
      <c r="I576">
        <v>667.83</v>
      </c>
      <c r="J576">
        <v>430.53</v>
      </c>
      <c r="K576">
        <v>628.34</v>
      </c>
      <c r="L576">
        <v>1027.23</v>
      </c>
      <c r="M576">
        <v>1376.7</v>
      </c>
      <c r="P576">
        <v>2400.4</v>
      </c>
      <c r="Q576" s="24">
        <f>E576+F576+G576+H576+I576+J576+K576+L576+M576+N576+O576+P576</f>
        <v>13938.18</v>
      </c>
    </row>
    <row r="577" spans="2:17" ht="12.75">
      <c r="B577" s="75" t="s">
        <v>708</v>
      </c>
      <c r="E577">
        <f>E574+E575+E576</f>
        <v>1769721.4300000002</v>
      </c>
      <c r="F577">
        <f aca="true" t="shared" si="22" ref="F577:Q577">F574+F575+F576</f>
        <v>1584417.8</v>
      </c>
      <c r="G577">
        <f t="shared" si="22"/>
        <v>1275741.27</v>
      </c>
      <c r="H577">
        <f t="shared" si="22"/>
        <v>1153499.6</v>
      </c>
      <c r="I577">
        <f t="shared" si="22"/>
        <v>1123047.2600000002</v>
      </c>
      <c r="J577">
        <f t="shared" si="22"/>
        <v>1046865.6600000001</v>
      </c>
      <c r="K577">
        <f t="shared" si="22"/>
        <v>1220253</v>
      </c>
      <c r="L577">
        <f t="shared" si="22"/>
        <v>1177198.36</v>
      </c>
      <c r="M577">
        <f t="shared" si="22"/>
        <v>1303583.6199999999</v>
      </c>
      <c r="N577">
        <f t="shared" si="22"/>
        <v>0</v>
      </c>
      <c r="O577">
        <f t="shared" si="22"/>
        <v>1375810.62</v>
      </c>
      <c r="P577">
        <f t="shared" si="22"/>
        <v>1455495.51</v>
      </c>
      <c r="Q577">
        <f t="shared" si="22"/>
        <v>14485634.129999999</v>
      </c>
    </row>
    <row r="578" ht="12.75">
      <c r="B578" s="34"/>
    </row>
    <row r="579" spans="5:17" ht="12.75">
      <c r="E579" s="2">
        <f>E574-E571</f>
        <v>-8910.129999998491</v>
      </c>
      <c r="F579" s="2">
        <f aca="true" t="shared" si="23" ref="F579:Q579">F574-F571</f>
        <v>146930.34000000218</v>
      </c>
      <c r="G579" s="2">
        <f t="shared" si="23"/>
        <v>14084.759999998612</v>
      </c>
      <c r="H579" s="2">
        <f t="shared" si="23"/>
        <v>6055.010000000708</v>
      </c>
      <c r="I579" s="2">
        <f t="shared" si="23"/>
        <v>15715.286999998963</v>
      </c>
      <c r="J579" s="2">
        <f t="shared" si="23"/>
        <v>9294.289999999106</v>
      </c>
      <c r="K579" s="2">
        <f t="shared" si="23"/>
        <v>-2252.240000000689</v>
      </c>
      <c r="L579" s="2">
        <f t="shared" si="23"/>
        <v>946.0399999965448</v>
      </c>
      <c r="M579" s="2">
        <f t="shared" si="23"/>
        <v>73040.55999999912</v>
      </c>
      <c r="N579" s="2">
        <f t="shared" si="23"/>
        <v>-1274788.4000000022</v>
      </c>
      <c r="O579" s="2">
        <f t="shared" si="23"/>
        <v>-22142.37999999989</v>
      </c>
      <c r="P579" s="2">
        <f>P574-P571+P576</f>
        <v>2017.4200000039768</v>
      </c>
      <c r="Q579" s="2">
        <f t="shared" si="23"/>
        <v>-1042409.8430000041</v>
      </c>
    </row>
    <row r="580" spans="2:18" ht="12.75">
      <c r="B580" t="s">
        <v>720</v>
      </c>
      <c r="Q580" t="s">
        <v>721</v>
      </c>
      <c r="R580" s="34" t="s">
        <v>722</v>
      </c>
    </row>
  </sheetData>
  <sheetProtection/>
  <autoFilter ref="A7:Q573">
    <sortState ref="A8:Q580">
      <sortCondition sortBy="cellColor" dxfId="0" ref="B8:B580"/>
    </sortState>
  </autoFilter>
  <printOptions/>
  <pageMargins left="0.1968503937007874" right="0.1968503937007874" top="0.31496062992125984" bottom="0.35433070866141736" header="0.15748031496062992" footer="0.2362204724409449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82"/>
  <sheetViews>
    <sheetView zoomScale="90" zoomScaleNormal="90" zoomScalePageLayoutView="0" workbookViewId="0" topLeftCell="A1">
      <pane xSplit="2" ySplit="7" topLeftCell="C540" activePane="bottomRight" state="frozen"/>
      <selection pane="topLeft" activeCell="A1" sqref="A1:A16384"/>
      <selection pane="topRight" activeCell="D1" sqref="D1:P16384"/>
      <selection pane="bottomLeft" activeCell="B2" sqref="B2"/>
      <selection pane="bottomRight" activeCell="Z8" sqref="Z8:Z758"/>
    </sheetView>
  </sheetViews>
  <sheetFormatPr defaultColWidth="9.00390625" defaultRowHeight="12.75"/>
  <cols>
    <col min="1" max="1" width="6.875" style="34" customWidth="1"/>
    <col min="2" max="2" width="43.125" style="0" customWidth="1"/>
    <col min="3" max="3" width="10.625" style="0" customWidth="1"/>
    <col min="4" max="4" width="15.625" style="28" customWidth="1"/>
    <col min="5" max="5" width="14.25390625" style="0" customWidth="1"/>
    <col min="6" max="6" width="13.875" style="0" customWidth="1"/>
    <col min="7" max="7" width="13.75390625" style="0" customWidth="1"/>
    <col min="8" max="8" width="14.875" style="0" customWidth="1"/>
    <col min="9" max="9" width="14.00390625" style="0" customWidth="1"/>
    <col min="10" max="10" width="14.875" style="0" customWidth="1"/>
    <col min="11" max="11" width="13.75390625" style="34" customWidth="1"/>
    <col min="12" max="12" width="13.875" style="0" customWidth="1"/>
    <col min="13" max="13" width="14.625" style="0" customWidth="1"/>
    <col min="14" max="14" width="14.00390625" style="0" customWidth="1"/>
    <col min="15" max="15" width="14.25390625" style="0" customWidth="1"/>
    <col min="16" max="16" width="14.00390625" style="0" customWidth="1"/>
    <col min="17" max="17" width="15.625" style="0" customWidth="1"/>
    <col min="18" max="18" width="11.375" style="34" customWidth="1"/>
    <col min="19" max="25" width="9.125" style="34" customWidth="1"/>
    <col min="26" max="26" width="52.00390625" style="34" customWidth="1"/>
    <col min="27" max="231" width="9.125" style="34" customWidth="1"/>
  </cols>
  <sheetData>
    <row r="1" spans="1:15" ht="14.25">
      <c r="A1" s="69" t="s">
        <v>567</v>
      </c>
      <c r="C1" s="14"/>
      <c r="E1" s="13"/>
      <c r="F1" s="13"/>
      <c r="J1" s="2"/>
      <c r="K1" s="33"/>
      <c r="L1" s="2"/>
      <c r="M1" s="2"/>
      <c r="N1" s="2"/>
      <c r="O1" s="2"/>
    </row>
    <row r="2" spans="2:15" ht="14.25">
      <c r="B2" s="16"/>
      <c r="C2" s="13" t="s">
        <v>724</v>
      </c>
      <c r="E2" s="13"/>
      <c r="F2" s="15"/>
      <c r="J2" s="2"/>
      <c r="K2" s="33"/>
      <c r="L2" s="2"/>
      <c r="M2" s="2"/>
      <c r="N2" s="2"/>
      <c r="O2" s="2"/>
    </row>
    <row r="3" spans="1:5" ht="12.75" hidden="1">
      <c r="A3" s="70"/>
      <c r="B3" s="1"/>
      <c r="C3" s="1"/>
      <c r="E3" s="1"/>
    </row>
    <row r="4" spans="1:5" ht="12.75" hidden="1">
      <c r="A4" s="70"/>
      <c r="B4" s="1"/>
      <c r="C4" s="1"/>
      <c r="E4" s="1"/>
    </row>
    <row r="5" ht="12.75" hidden="1"/>
    <row r="6" spans="1:17" ht="12.75">
      <c r="A6" s="71" t="s">
        <v>71</v>
      </c>
      <c r="B6" s="4" t="s">
        <v>70</v>
      </c>
      <c r="C6" s="4" t="s">
        <v>72</v>
      </c>
      <c r="D6" s="29" t="s">
        <v>568</v>
      </c>
      <c r="E6" s="5" t="s">
        <v>569</v>
      </c>
      <c r="F6" s="5" t="s">
        <v>570</v>
      </c>
      <c r="G6" s="6" t="s">
        <v>571</v>
      </c>
      <c r="H6" s="6" t="s">
        <v>572</v>
      </c>
      <c r="I6" s="3" t="s">
        <v>573</v>
      </c>
      <c r="J6" s="3" t="s">
        <v>574</v>
      </c>
      <c r="K6" s="7" t="s">
        <v>575</v>
      </c>
      <c r="L6" s="7" t="s">
        <v>576</v>
      </c>
      <c r="M6" s="7" t="s">
        <v>577</v>
      </c>
      <c r="N6" s="7" t="s">
        <v>578</v>
      </c>
      <c r="O6" s="7" t="s">
        <v>579</v>
      </c>
      <c r="P6" s="7" t="s">
        <v>580</v>
      </c>
      <c r="Q6" s="3" t="s">
        <v>597</v>
      </c>
    </row>
    <row r="7" spans="1:17" ht="36">
      <c r="A7" s="72"/>
      <c r="B7" s="4"/>
      <c r="C7" s="4"/>
      <c r="D7" s="30" t="s">
        <v>581</v>
      </c>
      <c r="E7" s="6" t="s">
        <v>582</v>
      </c>
      <c r="F7" s="6" t="s">
        <v>582</v>
      </c>
      <c r="G7" s="6" t="s">
        <v>582</v>
      </c>
      <c r="H7" s="6" t="s">
        <v>582</v>
      </c>
      <c r="I7" s="6" t="s">
        <v>582</v>
      </c>
      <c r="J7" s="6" t="s">
        <v>582</v>
      </c>
      <c r="K7" s="35" t="s">
        <v>582</v>
      </c>
      <c r="L7" s="6" t="s">
        <v>582</v>
      </c>
      <c r="M7" s="6" t="s">
        <v>582</v>
      </c>
      <c r="N7" s="6" t="s">
        <v>582</v>
      </c>
      <c r="O7" s="6" t="s">
        <v>582</v>
      </c>
      <c r="P7" s="6" t="s">
        <v>582</v>
      </c>
      <c r="Q7" s="6" t="s">
        <v>582</v>
      </c>
    </row>
    <row r="8" spans="1:17" ht="12.75">
      <c r="A8" s="73">
        <v>1</v>
      </c>
      <c r="B8" s="9" t="s">
        <v>73</v>
      </c>
      <c r="C8" s="9">
        <v>21602</v>
      </c>
      <c r="D8" s="8">
        <v>2</v>
      </c>
      <c r="E8" s="22">
        <f>ROUND(0.04*521.42,0)*3.53*2</f>
        <v>148.26</v>
      </c>
      <c r="F8" s="22">
        <f>ROUND(0.04*409.08,0)*3.53*2</f>
        <v>112.96</v>
      </c>
      <c r="G8" s="22">
        <f>ROUND(0.04*366.33,0)*3.53*2</f>
        <v>105.89999999999999</v>
      </c>
      <c r="H8" s="22">
        <f>ROUND(0.04*254.17,0)*3.53*2</f>
        <v>70.6</v>
      </c>
      <c r="I8" s="22"/>
      <c r="J8" s="22"/>
      <c r="K8" s="22"/>
      <c r="L8" s="22"/>
      <c r="M8" s="22"/>
      <c r="N8" s="22"/>
      <c r="O8" s="22"/>
      <c r="P8" s="22"/>
      <c r="Q8" s="20">
        <f>E8+F8+G8+H8+I186+J8+K8+L8+M8+N8+O8+P8</f>
        <v>437.7199999999999</v>
      </c>
    </row>
    <row r="9" spans="1:231" s="44" customFormat="1" ht="12.75">
      <c r="A9" s="73">
        <f>A8+1</f>
        <v>2</v>
      </c>
      <c r="B9" s="10" t="s">
        <v>74</v>
      </c>
      <c r="C9" s="10">
        <v>21600</v>
      </c>
      <c r="D9" s="42">
        <v>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>
        <f aca="true" t="shared" si="0" ref="Q9:Q40">E9+F9+G9+H9+I9+J9+K9+L9+M9+N9+O9+P9</f>
        <v>0</v>
      </c>
      <c r="R9" s="34"/>
      <c r="S9" s="34"/>
      <c r="T9" s="34"/>
      <c r="U9" s="34"/>
      <c r="V9" s="34"/>
      <c r="W9" s="34"/>
      <c r="X9" s="34"/>
      <c r="Y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</row>
    <row r="10" spans="1:17" ht="12.75">
      <c r="A10" s="73">
        <f aca="true" t="shared" si="1" ref="A10:A73">A9+1</f>
        <v>3</v>
      </c>
      <c r="B10" s="9" t="s">
        <v>75</v>
      </c>
      <c r="C10" s="9">
        <v>21610</v>
      </c>
      <c r="D10" s="8">
        <v>2</v>
      </c>
      <c r="E10" s="22">
        <f>ROUND(0.04*521.42,0)*3.53*2</f>
        <v>148.26</v>
      </c>
      <c r="F10" s="22">
        <f>ROUND(0.04*409.08,0)*3.53*2</f>
        <v>112.96</v>
      </c>
      <c r="G10" s="22">
        <f>ROUND(0.04*366.33,0)*3.53*2</f>
        <v>105.89999999999999</v>
      </c>
      <c r="H10" s="22">
        <f>ROUND(0.04*254.17,0)*3.53*2</f>
        <v>70.6</v>
      </c>
      <c r="I10" s="22"/>
      <c r="J10" s="22"/>
      <c r="K10" s="22"/>
      <c r="L10" s="22"/>
      <c r="M10" s="22"/>
      <c r="N10" s="22"/>
      <c r="O10" s="22"/>
      <c r="P10" s="22"/>
      <c r="Q10" s="20">
        <f t="shared" si="0"/>
        <v>437.7199999999999</v>
      </c>
    </row>
    <row r="11" spans="1:17" ht="12.75">
      <c r="A11" s="73">
        <f>A10+1</f>
        <v>4</v>
      </c>
      <c r="B11" s="10" t="s">
        <v>76</v>
      </c>
      <c r="C11" s="10">
        <v>21606</v>
      </c>
      <c r="D11" s="42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>
        <f t="shared" si="0"/>
        <v>0</v>
      </c>
    </row>
    <row r="12" spans="1:17" ht="12.75">
      <c r="A12" s="73">
        <f t="shared" si="1"/>
        <v>5</v>
      </c>
      <c r="B12" s="9" t="s">
        <v>77</v>
      </c>
      <c r="C12" s="9">
        <v>21607</v>
      </c>
      <c r="D12" s="8">
        <v>2</v>
      </c>
      <c r="E12" s="22">
        <f>ROUND(0.04*521.42,0)*3.53*2</f>
        <v>148.26</v>
      </c>
      <c r="F12" s="22">
        <f>ROUND(0.04*409.08,0)*3.53*2</f>
        <v>112.96</v>
      </c>
      <c r="G12" s="22">
        <f>ROUND(0.04*366.33,0)*3.53*2</f>
        <v>105.89999999999999</v>
      </c>
      <c r="H12" s="22">
        <f>ROUND(0.04*254.17,0)*3.53*2</f>
        <v>70.6</v>
      </c>
      <c r="I12" s="22"/>
      <c r="J12" s="22"/>
      <c r="K12" s="22"/>
      <c r="L12" s="22"/>
      <c r="M12" s="22"/>
      <c r="N12" s="22"/>
      <c r="O12" s="22"/>
      <c r="P12" s="22"/>
      <c r="Q12" s="20">
        <f t="shared" si="0"/>
        <v>437.7199999999999</v>
      </c>
    </row>
    <row r="13" spans="1:17" ht="12.75">
      <c r="A13" s="73">
        <f t="shared" si="1"/>
        <v>6</v>
      </c>
      <c r="B13" s="9" t="s">
        <v>78</v>
      </c>
      <c r="C13" s="9">
        <v>21619</v>
      </c>
      <c r="D13" s="8">
        <v>1</v>
      </c>
      <c r="E13" s="22">
        <f>ROUND(0.04*521.42,0)*3.53</f>
        <v>74.13</v>
      </c>
      <c r="F13" s="22">
        <f>ROUND(0.04*409.08,0)*3.53</f>
        <v>56.48</v>
      </c>
      <c r="G13" s="22">
        <f>ROUND(0.04*366.33,0)*3.53</f>
        <v>52.949999999999996</v>
      </c>
      <c r="H13" s="22">
        <f>ROUND(0.04*254.17,0)*3.53</f>
        <v>35.3</v>
      </c>
      <c r="I13" s="22"/>
      <c r="J13" s="22"/>
      <c r="K13" s="22"/>
      <c r="L13" s="22"/>
      <c r="M13" s="22"/>
      <c r="N13" s="22"/>
      <c r="O13" s="22"/>
      <c r="P13" s="22"/>
      <c r="Q13" s="20">
        <f t="shared" si="0"/>
        <v>218.85999999999996</v>
      </c>
    </row>
    <row r="14" spans="1:17" ht="12.75">
      <c r="A14" s="73">
        <f t="shared" si="1"/>
        <v>7</v>
      </c>
      <c r="B14" s="9" t="s">
        <v>566</v>
      </c>
      <c r="C14" s="9">
        <v>10010</v>
      </c>
      <c r="D14" s="8" t="s">
        <v>584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0">
        <f t="shared" si="0"/>
        <v>0</v>
      </c>
    </row>
    <row r="15" spans="1:17" ht="12.75">
      <c r="A15" s="73">
        <f t="shared" si="1"/>
        <v>8</v>
      </c>
      <c r="B15" s="10" t="s">
        <v>79</v>
      </c>
      <c r="C15" s="10">
        <v>21622</v>
      </c>
      <c r="D15" s="42">
        <v>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>
        <f t="shared" si="0"/>
        <v>0</v>
      </c>
    </row>
    <row r="16" spans="1:231" s="44" customFormat="1" ht="12.75">
      <c r="A16" s="73">
        <f t="shared" si="1"/>
        <v>9</v>
      </c>
      <c r="B16" s="9" t="s">
        <v>80</v>
      </c>
      <c r="C16" s="9">
        <v>12200</v>
      </c>
      <c r="D16" s="17">
        <v>18</v>
      </c>
      <c r="E16" s="22">
        <f>ROUND(0.04*521.42,0)*3.53*18</f>
        <v>1334.34</v>
      </c>
      <c r="F16" s="22">
        <f>ROUND(0.04*409.08,0)*3.53*18</f>
        <v>1016.64</v>
      </c>
      <c r="G16" s="22">
        <f>ROUND(0.04*366.33,0)*3.53*18</f>
        <v>953.0999999999999</v>
      </c>
      <c r="H16" s="22">
        <f>ROUND(0.04*254.17,0)*3.53*18</f>
        <v>635.4</v>
      </c>
      <c r="I16" s="22"/>
      <c r="J16" s="22"/>
      <c r="K16" s="22"/>
      <c r="L16" s="22"/>
      <c r="M16" s="22"/>
      <c r="N16" s="22"/>
      <c r="O16" s="22"/>
      <c r="P16" s="22"/>
      <c r="Q16" s="20">
        <f t="shared" si="0"/>
        <v>3939.48</v>
      </c>
      <c r="R16" s="34"/>
      <c r="S16" s="34"/>
      <c r="T16" s="34"/>
      <c r="U16" s="34"/>
      <c r="V16" s="34"/>
      <c r="W16" s="34"/>
      <c r="X16" s="34"/>
      <c r="Y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</row>
    <row r="17" spans="1:17" ht="12.75">
      <c r="A17" s="73">
        <f t="shared" si="1"/>
        <v>10</v>
      </c>
      <c r="B17" s="10" t="s">
        <v>81</v>
      </c>
      <c r="C17" s="10">
        <v>12203</v>
      </c>
      <c r="D17" s="45" t="s">
        <v>584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f t="shared" si="0"/>
        <v>0</v>
      </c>
    </row>
    <row r="18" spans="1:17" ht="12.75">
      <c r="A18" s="73">
        <f t="shared" si="1"/>
        <v>11</v>
      </c>
      <c r="B18" s="9" t="s">
        <v>82</v>
      </c>
      <c r="C18" s="9">
        <v>11103</v>
      </c>
      <c r="D18" s="17" t="s">
        <v>619</v>
      </c>
      <c r="E18" s="20">
        <v>107.33</v>
      </c>
      <c r="F18" s="20">
        <v>112.29</v>
      </c>
      <c r="G18" s="20"/>
      <c r="H18" s="20"/>
      <c r="I18" s="20"/>
      <c r="J18" s="20"/>
      <c r="K18" s="22"/>
      <c r="L18" s="20"/>
      <c r="M18" s="20"/>
      <c r="N18" s="20"/>
      <c r="O18" s="20"/>
      <c r="P18" s="20"/>
      <c r="Q18" s="20">
        <f t="shared" si="0"/>
        <v>219.62</v>
      </c>
    </row>
    <row r="19" spans="1:17" ht="12.75">
      <c r="A19" s="73">
        <f t="shared" si="1"/>
        <v>12</v>
      </c>
      <c r="B19" s="9" t="s">
        <v>83</v>
      </c>
      <c r="C19" s="9">
        <v>11101</v>
      </c>
      <c r="D19" s="17" t="s">
        <v>585</v>
      </c>
      <c r="E19" s="20">
        <v>1705.57</v>
      </c>
      <c r="F19" s="20">
        <v>1126.47</v>
      </c>
      <c r="G19" s="20"/>
      <c r="H19" s="20"/>
      <c r="I19" s="20"/>
      <c r="J19" s="20"/>
      <c r="K19" s="22"/>
      <c r="L19" s="20"/>
      <c r="M19" s="20"/>
      <c r="N19" s="20"/>
      <c r="O19" s="20"/>
      <c r="P19" s="20"/>
      <c r="Q19" s="20">
        <f t="shared" si="0"/>
        <v>2832.04</v>
      </c>
    </row>
    <row r="20" spans="1:17" ht="12.75">
      <c r="A20" s="73">
        <f t="shared" si="1"/>
        <v>13</v>
      </c>
      <c r="B20" s="9" t="s">
        <v>84</v>
      </c>
      <c r="C20" s="9">
        <v>11105</v>
      </c>
      <c r="D20" s="17">
        <v>2</v>
      </c>
      <c r="E20" s="22">
        <f>ROUND(0.04*521.42,0)*3.53*2</f>
        <v>148.26</v>
      </c>
      <c r="F20" s="22">
        <f>ROUND(0.04*409.08,0)*3.53*2</f>
        <v>112.96</v>
      </c>
      <c r="G20" s="22">
        <f>ROUND(0.04*366.33,0)*3.53*2</f>
        <v>105.89999999999999</v>
      </c>
      <c r="H20" s="22">
        <f>ROUND(0.04*254.17,0)*3.53*2</f>
        <v>70.6</v>
      </c>
      <c r="I20" s="22"/>
      <c r="J20" s="20"/>
      <c r="K20" s="22"/>
      <c r="L20" s="22"/>
      <c r="M20" s="22"/>
      <c r="N20" s="22"/>
      <c r="O20" s="22"/>
      <c r="P20" s="22"/>
      <c r="Q20" s="20">
        <f t="shared" si="0"/>
        <v>437.7199999999999</v>
      </c>
    </row>
    <row r="21" spans="1:17" ht="12.75">
      <c r="A21" s="73">
        <f t="shared" si="1"/>
        <v>14</v>
      </c>
      <c r="B21" s="9" t="s">
        <v>85</v>
      </c>
      <c r="C21" s="9">
        <v>32008</v>
      </c>
      <c r="D21" s="17" t="s">
        <v>586</v>
      </c>
      <c r="E21" s="20">
        <v>22575.03</v>
      </c>
      <c r="F21" s="20">
        <v>22576.03</v>
      </c>
      <c r="G21" s="20"/>
      <c r="H21" s="20"/>
      <c r="I21" s="20"/>
      <c r="J21" s="20"/>
      <c r="K21" s="22"/>
      <c r="L21" s="20"/>
      <c r="M21" s="20"/>
      <c r="N21" s="20"/>
      <c r="O21" s="20"/>
      <c r="P21" s="20"/>
      <c r="Q21" s="20">
        <f t="shared" si="0"/>
        <v>45151.06</v>
      </c>
    </row>
    <row r="22" spans="1:17" ht="12.75">
      <c r="A22" s="73">
        <f t="shared" si="1"/>
        <v>15</v>
      </c>
      <c r="B22" s="27" t="s">
        <v>86</v>
      </c>
      <c r="C22" s="9">
        <v>11113</v>
      </c>
      <c r="D22" s="26" t="s">
        <v>583</v>
      </c>
      <c r="E22" s="20">
        <v>85284.8</v>
      </c>
      <c r="F22" s="20">
        <v>91497.6</v>
      </c>
      <c r="G22" s="20"/>
      <c r="H22" s="20"/>
      <c r="I22" s="20"/>
      <c r="J22" s="20"/>
      <c r="K22" s="22"/>
      <c r="L22" s="20"/>
      <c r="M22" s="20"/>
      <c r="N22" s="20"/>
      <c r="O22" s="20"/>
      <c r="P22" s="20"/>
      <c r="Q22" s="20">
        <f t="shared" si="0"/>
        <v>176782.40000000002</v>
      </c>
    </row>
    <row r="23" spans="1:17" ht="12.75">
      <c r="A23" s="73">
        <f t="shared" si="1"/>
        <v>16</v>
      </c>
      <c r="B23" s="27" t="s">
        <v>87</v>
      </c>
      <c r="C23" s="9">
        <v>11114</v>
      </c>
      <c r="D23" s="26" t="s">
        <v>583</v>
      </c>
      <c r="E23" s="20">
        <v>78260.1</v>
      </c>
      <c r="F23" s="20">
        <v>87367.5</v>
      </c>
      <c r="G23" s="20"/>
      <c r="H23" s="20"/>
      <c r="I23" s="20"/>
      <c r="J23" s="20"/>
      <c r="K23" s="22"/>
      <c r="L23" s="20"/>
      <c r="M23" s="20"/>
      <c r="N23" s="20"/>
      <c r="O23" s="20"/>
      <c r="P23" s="20"/>
      <c r="Q23" s="20">
        <f t="shared" si="0"/>
        <v>165627.6</v>
      </c>
    </row>
    <row r="24" spans="1:17" ht="12.75">
      <c r="A24" s="73">
        <f t="shared" si="1"/>
        <v>17</v>
      </c>
      <c r="B24" s="27" t="s">
        <v>88</v>
      </c>
      <c r="C24" s="9">
        <v>11111</v>
      </c>
      <c r="D24" s="26" t="s">
        <v>583</v>
      </c>
      <c r="E24" s="20">
        <v>88744.2</v>
      </c>
      <c r="F24" s="20">
        <v>100710.9</v>
      </c>
      <c r="G24" s="20"/>
      <c r="H24" s="20"/>
      <c r="I24" s="20"/>
      <c r="J24" s="20"/>
      <c r="K24" s="22"/>
      <c r="L24" s="20"/>
      <c r="M24" s="20"/>
      <c r="N24" s="20"/>
      <c r="O24" s="20"/>
      <c r="P24" s="20"/>
      <c r="Q24" s="20">
        <f t="shared" si="0"/>
        <v>189455.09999999998</v>
      </c>
    </row>
    <row r="25" spans="1:17" ht="12.75">
      <c r="A25" s="73">
        <f t="shared" si="1"/>
        <v>18</v>
      </c>
      <c r="B25" s="27" t="s">
        <v>89</v>
      </c>
      <c r="C25" s="9">
        <v>11112</v>
      </c>
      <c r="D25" s="26" t="s">
        <v>583</v>
      </c>
      <c r="E25" s="20">
        <v>93192</v>
      </c>
      <c r="F25" s="20">
        <v>102405.3</v>
      </c>
      <c r="G25" s="20"/>
      <c r="H25" s="20"/>
      <c r="I25" s="20"/>
      <c r="J25" s="20"/>
      <c r="K25" s="22"/>
      <c r="L25" s="20"/>
      <c r="M25" s="20"/>
      <c r="N25" s="20"/>
      <c r="O25" s="20"/>
      <c r="P25" s="20"/>
      <c r="Q25" s="20">
        <f t="shared" si="0"/>
        <v>195597.3</v>
      </c>
    </row>
    <row r="26" spans="1:17" ht="12.75">
      <c r="A26" s="73">
        <f t="shared" si="1"/>
        <v>19</v>
      </c>
      <c r="B26" s="9" t="s">
        <v>90</v>
      </c>
      <c r="C26" s="9">
        <v>21629</v>
      </c>
      <c r="D26" s="17">
        <v>2</v>
      </c>
      <c r="E26" s="22">
        <f>ROUND(0.04*521.42,0)*3.53*2</f>
        <v>148.26</v>
      </c>
      <c r="F26" s="22">
        <f>ROUND(0.04*409.08,0)*3.53*2</f>
        <v>112.96</v>
      </c>
      <c r="G26" s="22">
        <f>ROUND(0.04*366.33,0)*3.53*2</f>
        <v>105.89999999999999</v>
      </c>
      <c r="H26" s="22">
        <f>ROUND(0.04*254.17,0)*3.53*2</f>
        <v>70.6</v>
      </c>
      <c r="I26" s="22"/>
      <c r="J26" s="20"/>
      <c r="K26" s="22"/>
      <c r="L26" s="22"/>
      <c r="M26" s="22"/>
      <c r="N26" s="22"/>
      <c r="O26" s="22"/>
      <c r="P26" s="22"/>
      <c r="Q26" s="20">
        <f t="shared" si="0"/>
        <v>437.7199999999999</v>
      </c>
    </row>
    <row r="27" spans="1:17" ht="12.75">
      <c r="A27" s="73">
        <f t="shared" si="1"/>
        <v>20</v>
      </c>
      <c r="B27" s="9" t="s">
        <v>91</v>
      </c>
      <c r="C27" s="9">
        <v>21625</v>
      </c>
      <c r="D27" s="17">
        <v>2</v>
      </c>
      <c r="E27" s="22">
        <f>ROUND(0.04*521.42,0)*3.53*2</f>
        <v>148.26</v>
      </c>
      <c r="F27" s="22">
        <f>ROUND(0.04*409.08,0)*3.53*2</f>
        <v>112.96</v>
      </c>
      <c r="G27" s="22">
        <f>ROUND(0.04*366.33,0)*3.53*2</f>
        <v>105.89999999999999</v>
      </c>
      <c r="H27" s="22">
        <f>ROUND(0.04*254.17,0)*3.53*2</f>
        <v>70.6</v>
      </c>
      <c r="I27" s="22"/>
      <c r="J27" s="20"/>
      <c r="K27" s="22"/>
      <c r="L27" s="22"/>
      <c r="M27" s="22"/>
      <c r="N27" s="22"/>
      <c r="O27" s="22"/>
      <c r="P27" s="22"/>
      <c r="Q27" s="20">
        <f t="shared" si="0"/>
        <v>437.7199999999999</v>
      </c>
    </row>
    <row r="28" spans="1:17" ht="12.75">
      <c r="A28" s="73">
        <f t="shared" si="1"/>
        <v>21</v>
      </c>
      <c r="B28" s="9" t="s">
        <v>92</v>
      </c>
      <c r="C28" s="9">
        <v>21839</v>
      </c>
      <c r="D28" s="17">
        <v>0</v>
      </c>
      <c r="E28" s="20"/>
      <c r="F28" s="20"/>
      <c r="G28" s="20"/>
      <c r="H28" s="20"/>
      <c r="I28" s="20"/>
      <c r="J28" s="20"/>
      <c r="K28" s="22"/>
      <c r="L28" s="20"/>
      <c r="M28" s="20"/>
      <c r="N28" s="20"/>
      <c r="O28" s="20"/>
      <c r="P28" s="20"/>
      <c r="Q28" s="20">
        <f t="shared" si="0"/>
        <v>0</v>
      </c>
    </row>
    <row r="29" spans="1:17" ht="12.75">
      <c r="A29" s="73">
        <f t="shared" si="1"/>
        <v>22</v>
      </c>
      <c r="B29" s="9" t="s">
        <v>93</v>
      </c>
      <c r="C29" s="9">
        <v>12328</v>
      </c>
      <c r="D29" s="17" t="s">
        <v>585</v>
      </c>
      <c r="E29" s="20">
        <v>1645.17</v>
      </c>
      <c r="F29" s="20">
        <v>1252.23</v>
      </c>
      <c r="G29" s="20"/>
      <c r="H29" s="20"/>
      <c r="I29" s="20"/>
      <c r="J29" s="20"/>
      <c r="K29" s="22"/>
      <c r="L29" s="20"/>
      <c r="M29" s="20"/>
      <c r="N29" s="20"/>
      <c r="O29" s="20"/>
      <c r="P29" s="20"/>
      <c r="Q29" s="20">
        <f t="shared" si="0"/>
        <v>2897.4</v>
      </c>
    </row>
    <row r="30" spans="1:231" s="44" customFormat="1" ht="12.75">
      <c r="A30" s="73">
        <f t="shared" si="1"/>
        <v>23</v>
      </c>
      <c r="B30" s="9" t="s">
        <v>94</v>
      </c>
      <c r="C30" s="10"/>
      <c r="D30" s="17">
        <v>2</v>
      </c>
      <c r="E30" s="22">
        <f>ROUND(0.04*521.42,0)*3.53*2</f>
        <v>148.26</v>
      </c>
      <c r="F30" s="22">
        <f>ROUND(0.04*409.08,0)*3.53*2</f>
        <v>112.96</v>
      </c>
      <c r="G30" s="22">
        <f>ROUND(0.04*366.33,0)*3.53*2</f>
        <v>105.89999999999999</v>
      </c>
      <c r="H30" s="22">
        <f>ROUND(0.04*254.17,0)*3.53*2</f>
        <v>70.6</v>
      </c>
      <c r="I30" s="22"/>
      <c r="J30" s="20"/>
      <c r="K30" s="22"/>
      <c r="L30" s="22"/>
      <c r="M30" s="22"/>
      <c r="N30" s="22"/>
      <c r="O30" s="22"/>
      <c r="P30" s="22"/>
      <c r="Q30" s="20">
        <f t="shared" si="0"/>
        <v>437.7199999999999</v>
      </c>
      <c r="R30" s="34"/>
      <c r="S30" s="34"/>
      <c r="T30" s="34"/>
      <c r="U30" s="34"/>
      <c r="V30" s="34"/>
      <c r="W30" s="34"/>
      <c r="X30" s="34"/>
      <c r="Y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</row>
    <row r="31" spans="1:17" ht="12.75">
      <c r="A31" s="73">
        <f t="shared" si="1"/>
        <v>24</v>
      </c>
      <c r="B31" s="9" t="s">
        <v>95</v>
      </c>
      <c r="C31" s="9">
        <v>21868</v>
      </c>
      <c r="D31" s="17" t="s">
        <v>585</v>
      </c>
      <c r="E31" s="20">
        <v>806.8</v>
      </c>
      <c r="F31" s="20">
        <v>766.29</v>
      </c>
      <c r="G31" s="20"/>
      <c r="H31" s="20"/>
      <c r="I31" s="20"/>
      <c r="J31" s="20"/>
      <c r="K31" s="22"/>
      <c r="L31" s="20"/>
      <c r="M31" s="20"/>
      <c r="N31" s="20"/>
      <c r="O31" s="20"/>
      <c r="P31" s="20"/>
      <c r="Q31" s="20">
        <f t="shared" si="0"/>
        <v>1573.09</v>
      </c>
    </row>
    <row r="32" spans="1:17" ht="12.75">
      <c r="A32" s="73">
        <f t="shared" si="1"/>
        <v>25</v>
      </c>
      <c r="B32" s="9" t="s">
        <v>96</v>
      </c>
      <c r="C32" s="9">
        <v>21869</v>
      </c>
      <c r="D32" s="17" t="s">
        <v>585</v>
      </c>
      <c r="E32" s="20">
        <v>669.56</v>
      </c>
      <c r="F32" s="20">
        <v>653.9</v>
      </c>
      <c r="G32" s="20"/>
      <c r="H32" s="20"/>
      <c r="I32" s="20"/>
      <c r="J32" s="20"/>
      <c r="K32" s="22"/>
      <c r="L32" s="20"/>
      <c r="M32" s="20"/>
      <c r="N32" s="20"/>
      <c r="O32" s="20"/>
      <c r="P32" s="20"/>
      <c r="Q32" s="20">
        <f t="shared" si="0"/>
        <v>1323.46</v>
      </c>
    </row>
    <row r="33" spans="1:17" ht="12.75">
      <c r="A33" s="73">
        <f t="shared" si="1"/>
        <v>26</v>
      </c>
      <c r="B33" s="9" t="s">
        <v>97</v>
      </c>
      <c r="C33" s="9">
        <v>21870</v>
      </c>
      <c r="D33" s="17" t="s">
        <v>585</v>
      </c>
      <c r="E33" s="20">
        <v>560.87</v>
      </c>
      <c r="F33" s="20">
        <v>541.66</v>
      </c>
      <c r="G33" s="20"/>
      <c r="H33" s="20"/>
      <c r="I33" s="20"/>
      <c r="J33" s="20"/>
      <c r="K33" s="22"/>
      <c r="L33" s="20"/>
      <c r="M33" s="20"/>
      <c r="N33" s="20"/>
      <c r="O33" s="20"/>
      <c r="P33" s="20"/>
      <c r="Q33" s="20">
        <f t="shared" si="0"/>
        <v>1102.53</v>
      </c>
    </row>
    <row r="34" spans="1:17" ht="12.75">
      <c r="A34" s="73">
        <f t="shared" si="1"/>
        <v>27</v>
      </c>
      <c r="B34" s="47" t="s">
        <v>600</v>
      </c>
      <c r="C34" s="10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>
        <f t="shared" si="0"/>
        <v>0</v>
      </c>
    </row>
    <row r="35" spans="1:17" ht="12.75">
      <c r="A35" s="73">
        <f t="shared" si="1"/>
        <v>28</v>
      </c>
      <c r="B35" s="9" t="s">
        <v>98</v>
      </c>
      <c r="C35" s="9">
        <v>23639</v>
      </c>
      <c r="D35" s="17">
        <v>1</v>
      </c>
      <c r="E35" s="22">
        <f>ROUND(0.04*521.42,0)*3.53</f>
        <v>74.13</v>
      </c>
      <c r="F35" s="22">
        <f>ROUND(0.04*409.08,0)*3.53</f>
        <v>56.48</v>
      </c>
      <c r="G35" s="22">
        <f>ROUND(0.04*366.33,0)*3.53</f>
        <v>52.949999999999996</v>
      </c>
      <c r="H35" s="22">
        <f>ROUND(0.04*254.17,0)*3.53</f>
        <v>35.3</v>
      </c>
      <c r="I35" s="20"/>
      <c r="J35" s="20"/>
      <c r="K35" s="22"/>
      <c r="L35" s="22"/>
      <c r="M35" s="22"/>
      <c r="N35" s="22"/>
      <c r="O35" s="22"/>
      <c r="P35" s="22"/>
      <c r="Q35" s="20">
        <f t="shared" si="0"/>
        <v>218.85999999999996</v>
      </c>
    </row>
    <row r="36" spans="1:17" ht="12.75">
      <c r="A36" s="73">
        <f t="shared" si="1"/>
        <v>29</v>
      </c>
      <c r="B36" s="9" t="s">
        <v>99</v>
      </c>
      <c r="C36" s="9">
        <v>11311</v>
      </c>
      <c r="D36" s="17" t="s">
        <v>585</v>
      </c>
      <c r="E36" s="20">
        <v>1542.07</v>
      </c>
      <c r="F36" s="20">
        <v>1677.52</v>
      </c>
      <c r="G36" s="20"/>
      <c r="H36" s="20"/>
      <c r="I36" s="20"/>
      <c r="J36" s="20"/>
      <c r="K36" s="22"/>
      <c r="L36" s="20"/>
      <c r="M36" s="20"/>
      <c r="N36" s="20"/>
      <c r="O36" s="20"/>
      <c r="P36" s="20"/>
      <c r="Q36" s="20">
        <f t="shared" si="0"/>
        <v>3219.59</v>
      </c>
    </row>
    <row r="37" spans="1:17" ht="12.75">
      <c r="A37" s="73">
        <f t="shared" si="1"/>
        <v>30</v>
      </c>
      <c r="B37" s="9" t="s">
        <v>100</v>
      </c>
      <c r="C37" s="9">
        <v>11313</v>
      </c>
      <c r="D37" s="17" t="s">
        <v>585</v>
      </c>
      <c r="E37" s="20">
        <v>1401.28</v>
      </c>
      <c r="F37" s="20">
        <v>1776.09</v>
      </c>
      <c r="G37" s="20"/>
      <c r="H37" s="20"/>
      <c r="I37" s="20"/>
      <c r="J37" s="20"/>
      <c r="K37" s="22"/>
      <c r="L37" s="20"/>
      <c r="M37" s="20"/>
      <c r="N37" s="20"/>
      <c r="O37" s="20"/>
      <c r="P37" s="20"/>
      <c r="Q37" s="20">
        <f t="shared" si="0"/>
        <v>3177.37</v>
      </c>
    </row>
    <row r="38" spans="1:17" ht="12.75">
      <c r="A38" s="73">
        <f t="shared" si="1"/>
        <v>31</v>
      </c>
      <c r="B38" s="9" t="s">
        <v>101</v>
      </c>
      <c r="C38" s="9">
        <v>11315</v>
      </c>
      <c r="D38" s="31" t="s">
        <v>588</v>
      </c>
      <c r="E38" s="20">
        <v>2973.19</v>
      </c>
      <c r="F38" s="20">
        <v>3180.85</v>
      </c>
      <c r="G38" s="20"/>
      <c r="H38" s="20"/>
      <c r="I38" s="20"/>
      <c r="J38" s="20"/>
      <c r="K38" s="22"/>
      <c r="L38" s="20"/>
      <c r="M38" s="20"/>
      <c r="N38" s="20"/>
      <c r="O38" s="20"/>
      <c r="P38" s="20"/>
      <c r="Q38" s="20">
        <f t="shared" si="0"/>
        <v>6154.04</v>
      </c>
    </row>
    <row r="39" spans="1:17" ht="12.75">
      <c r="A39" s="73">
        <f t="shared" si="1"/>
        <v>32</v>
      </c>
      <c r="B39" s="9" t="s">
        <v>102</v>
      </c>
      <c r="C39" s="9">
        <v>11116</v>
      </c>
      <c r="D39" s="31" t="s">
        <v>588</v>
      </c>
      <c r="E39" s="20">
        <v>2441.1</v>
      </c>
      <c r="F39" s="20">
        <v>2667.14</v>
      </c>
      <c r="G39" s="20"/>
      <c r="H39" s="20"/>
      <c r="I39" s="20"/>
      <c r="J39" s="20"/>
      <c r="K39" s="22"/>
      <c r="L39" s="20"/>
      <c r="M39" s="20"/>
      <c r="N39" s="20"/>
      <c r="O39" s="20"/>
      <c r="P39" s="20"/>
      <c r="Q39" s="20">
        <f t="shared" si="0"/>
        <v>5108.24</v>
      </c>
    </row>
    <row r="40" spans="1:17" ht="12.75">
      <c r="A40" s="73">
        <f t="shared" si="1"/>
        <v>33</v>
      </c>
      <c r="B40" s="9" t="s">
        <v>103</v>
      </c>
      <c r="C40" s="9">
        <v>11317</v>
      </c>
      <c r="D40" s="17" t="s">
        <v>585</v>
      </c>
      <c r="E40" s="20">
        <v>547.35</v>
      </c>
      <c r="F40" s="20">
        <v>539.57</v>
      </c>
      <c r="G40" s="20"/>
      <c r="H40" s="20"/>
      <c r="I40" s="20"/>
      <c r="J40" s="20"/>
      <c r="K40" s="22"/>
      <c r="L40" s="20"/>
      <c r="M40" s="20"/>
      <c r="N40" s="20"/>
      <c r="O40" s="20"/>
      <c r="P40" s="20"/>
      <c r="Q40" s="20">
        <f t="shared" si="0"/>
        <v>1086.92</v>
      </c>
    </row>
    <row r="41" spans="1:17" ht="12.75">
      <c r="A41" s="73">
        <f t="shared" si="1"/>
        <v>34</v>
      </c>
      <c r="B41" s="9" t="s">
        <v>104</v>
      </c>
      <c r="C41" s="9">
        <v>11319</v>
      </c>
      <c r="D41" s="17" t="s">
        <v>585</v>
      </c>
      <c r="E41" s="20">
        <v>680.99</v>
      </c>
      <c r="F41" s="20">
        <v>1106.76</v>
      </c>
      <c r="G41" s="20"/>
      <c r="H41" s="20"/>
      <c r="I41" s="20"/>
      <c r="J41" s="20"/>
      <c r="K41" s="22"/>
      <c r="L41" s="20"/>
      <c r="M41" s="20"/>
      <c r="N41" s="20"/>
      <c r="O41" s="20"/>
      <c r="P41" s="20"/>
      <c r="Q41" s="20">
        <f aca="true" t="shared" si="2" ref="Q41:Q72">E41+F41+G41+H41+I41+J41+K41+L41+M41+N41+O41+P41</f>
        <v>1787.75</v>
      </c>
    </row>
    <row r="42" spans="1:17" ht="12.75">
      <c r="A42" s="73">
        <f t="shared" si="1"/>
        <v>35</v>
      </c>
      <c r="B42" s="9" t="s">
        <v>105</v>
      </c>
      <c r="C42" s="9">
        <v>11120</v>
      </c>
      <c r="D42" s="17" t="s">
        <v>585</v>
      </c>
      <c r="E42" s="20">
        <v>1642.3</v>
      </c>
      <c r="F42" s="20">
        <v>1928.16</v>
      </c>
      <c r="G42" s="20">
        <v>1928.16</v>
      </c>
      <c r="H42" s="20">
        <v>1929.16</v>
      </c>
      <c r="I42" s="20"/>
      <c r="J42" s="20"/>
      <c r="K42" s="22"/>
      <c r="L42" s="20"/>
      <c r="M42" s="20"/>
      <c r="N42" s="20"/>
      <c r="O42" s="20"/>
      <c r="P42" s="20"/>
      <c r="Q42" s="20">
        <f t="shared" si="2"/>
        <v>7427.78</v>
      </c>
    </row>
    <row r="43" spans="1:17" ht="12.75">
      <c r="A43" s="73">
        <f t="shared" si="1"/>
        <v>36</v>
      </c>
      <c r="B43" s="9" t="s">
        <v>106</v>
      </c>
      <c r="C43" s="9">
        <v>11321</v>
      </c>
      <c r="D43" s="17" t="s">
        <v>585</v>
      </c>
      <c r="E43" s="20">
        <v>1801.37</v>
      </c>
      <c r="F43" s="20">
        <v>1746.18</v>
      </c>
      <c r="G43" s="20"/>
      <c r="H43" s="20"/>
      <c r="I43" s="20"/>
      <c r="J43" s="20"/>
      <c r="K43" s="22"/>
      <c r="L43" s="20"/>
      <c r="M43" s="20"/>
      <c r="N43" s="20"/>
      <c r="O43" s="20"/>
      <c r="P43" s="20"/>
      <c r="Q43" s="20">
        <f t="shared" si="2"/>
        <v>3547.55</v>
      </c>
    </row>
    <row r="44" spans="1:17" ht="12.75">
      <c r="A44" s="73">
        <f t="shared" si="1"/>
        <v>37</v>
      </c>
      <c r="B44" s="9" t="s">
        <v>107</v>
      </c>
      <c r="C44" s="9">
        <v>11122</v>
      </c>
      <c r="D44" s="17" t="s">
        <v>585</v>
      </c>
      <c r="E44" s="20">
        <v>2435.7</v>
      </c>
      <c r="F44" s="20">
        <v>2436.7</v>
      </c>
      <c r="G44" s="20"/>
      <c r="H44" s="20"/>
      <c r="I44" s="20"/>
      <c r="J44" s="20"/>
      <c r="K44" s="22"/>
      <c r="L44" s="20"/>
      <c r="M44" s="20"/>
      <c r="N44" s="20"/>
      <c r="O44" s="20"/>
      <c r="P44" s="20"/>
      <c r="Q44" s="20">
        <f t="shared" si="2"/>
        <v>4872.4</v>
      </c>
    </row>
    <row r="45" spans="1:17" ht="12.75">
      <c r="A45" s="73">
        <f t="shared" si="1"/>
        <v>38</v>
      </c>
      <c r="B45" s="9" t="s">
        <v>108</v>
      </c>
      <c r="C45" s="9">
        <v>11323</v>
      </c>
      <c r="D45" s="17">
        <v>25</v>
      </c>
      <c r="E45" s="22">
        <f>ROUND(0.04*521.42,0)*3.53*25</f>
        <v>1853.25</v>
      </c>
      <c r="F45" s="22">
        <f>ROUND(0.04*409.08,0)*3.53*25</f>
        <v>1412</v>
      </c>
      <c r="G45" s="22">
        <f>ROUND(0.04*366.33,0)*3.53*25</f>
        <v>1323.75</v>
      </c>
      <c r="H45" s="22">
        <f>ROUND(0.04*254.17,0)*3.53*25</f>
        <v>882.4999999999999</v>
      </c>
      <c r="I45" s="20"/>
      <c r="J45" s="20"/>
      <c r="K45" s="22"/>
      <c r="L45" s="22"/>
      <c r="M45" s="22"/>
      <c r="N45" s="22"/>
      <c r="O45" s="22"/>
      <c r="P45" s="22"/>
      <c r="Q45" s="20">
        <f t="shared" si="2"/>
        <v>5471.5</v>
      </c>
    </row>
    <row r="46" spans="1:17" ht="12.75">
      <c r="A46" s="73">
        <f t="shared" si="1"/>
        <v>39</v>
      </c>
      <c r="B46" s="9" t="s">
        <v>109</v>
      </c>
      <c r="C46" s="9">
        <v>11325</v>
      </c>
      <c r="D46" s="17" t="s">
        <v>585</v>
      </c>
      <c r="E46" s="20">
        <v>346.94</v>
      </c>
      <c r="F46" s="20">
        <v>349.13</v>
      </c>
      <c r="G46" s="20"/>
      <c r="H46" s="20"/>
      <c r="I46" s="20"/>
      <c r="J46" s="20"/>
      <c r="K46" s="22"/>
      <c r="L46" s="20"/>
      <c r="M46" s="20"/>
      <c r="N46" s="20"/>
      <c r="O46" s="20"/>
      <c r="P46" s="20"/>
      <c r="Q46" s="20">
        <f t="shared" si="2"/>
        <v>696.0699999999999</v>
      </c>
    </row>
    <row r="47" spans="1:17" ht="12.75">
      <c r="A47" s="73">
        <f t="shared" si="1"/>
        <v>40</v>
      </c>
      <c r="B47" s="9" t="s">
        <v>110</v>
      </c>
      <c r="C47" s="11">
        <v>32026</v>
      </c>
      <c r="D47" s="32" t="s">
        <v>587</v>
      </c>
      <c r="E47" s="20"/>
      <c r="F47" s="20"/>
      <c r="G47" s="20"/>
      <c r="H47" s="20"/>
      <c r="I47" s="20"/>
      <c r="J47" s="20"/>
      <c r="K47" s="22"/>
      <c r="L47" s="20"/>
      <c r="M47" s="20"/>
      <c r="N47" s="20"/>
      <c r="O47" s="20"/>
      <c r="P47" s="20"/>
      <c r="Q47" s="20">
        <f t="shared" si="2"/>
        <v>0</v>
      </c>
    </row>
    <row r="48" spans="1:231" s="44" customFormat="1" ht="12.75">
      <c r="A48" s="73">
        <f t="shared" si="1"/>
        <v>41</v>
      </c>
      <c r="B48" s="9" t="s">
        <v>111</v>
      </c>
      <c r="C48" s="9">
        <v>11327</v>
      </c>
      <c r="D48" s="17" t="s">
        <v>585</v>
      </c>
      <c r="E48" s="20">
        <v>358.27</v>
      </c>
      <c r="F48" s="20">
        <v>435.06</v>
      </c>
      <c r="G48" s="20"/>
      <c r="H48" s="20"/>
      <c r="I48" s="20"/>
      <c r="J48" s="20"/>
      <c r="K48" s="22"/>
      <c r="L48" s="20"/>
      <c r="M48" s="20"/>
      <c r="N48" s="20"/>
      <c r="O48" s="20"/>
      <c r="P48" s="20"/>
      <c r="Q48" s="20">
        <f t="shared" si="2"/>
        <v>793.3299999999999</v>
      </c>
      <c r="R48" s="34"/>
      <c r="S48" s="34"/>
      <c r="T48" s="34"/>
      <c r="U48" s="34"/>
      <c r="V48" s="34"/>
      <c r="W48" s="34"/>
      <c r="X48" s="34"/>
      <c r="Y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</row>
    <row r="49" spans="1:17" ht="12.75">
      <c r="A49" s="73">
        <f t="shared" si="1"/>
        <v>42</v>
      </c>
      <c r="B49" s="9" t="s">
        <v>112</v>
      </c>
      <c r="C49" s="9">
        <v>11128</v>
      </c>
      <c r="D49" s="17" t="s">
        <v>585</v>
      </c>
      <c r="E49" s="20">
        <v>498.23</v>
      </c>
      <c r="F49" s="20">
        <v>557.95</v>
      </c>
      <c r="G49" s="20"/>
      <c r="H49" s="20"/>
      <c r="I49" s="20"/>
      <c r="J49" s="20"/>
      <c r="K49" s="22"/>
      <c r="L49" s="20"/>
      <c r="M49" s="20"/>
      <c r="N49" s="20"/>
      <c r="O49" s="20"/>
      <c r="P49" s="20"/>
      <c r="Q49" s="20">
        <f t="shared" si="2"/>
        <v>1056.18</v>
      </c>
    </row>
    <row r="50" spans="1:17" ht="12.75">
      <c r="A50" s="73">
        <f t="shared" si="1"/>
        <v>43</v>
      </c>
      <c r="B50" s="9" t="s">
        <v>113</v>
      </c>
      <c r="C50" s="9">
        <v>11329</v>
      </c>
      <c r="D50" s="17" t="s">
        <v>585</v>
      </c>
      <c r="E50" s="20">
        <v>580.81</v>
      </c>
      <c r="F50" s="20">
        <v>548.86</v>
      </c>
      <c r="G50" s="20"/>
      <c r="H50" s="20"/>
      <c r="I50" s="20"/>
      <c r="J50" s="20"/>
      <c r="K50" s="22"/>
      <c r="L50" s="20"/>
      <c r="M50" s="20"/>
      <c r="N50" s="20"/>
      <c r="O50" s="20"/>
      <c r="P50" s="20"/>
      <c r="Q50" s="20">
        <f t="shared" si="2"/>
        <v>1129.67</v>
      </c>
    </row>
    <row r="51" spans="1:17" ht="12.75">
      <c r="A51" s="73">
        <f t="shared" si="1"/>
        <v>44</v>
      </c>
      <c r="B51" s="9" t="s">
        <v>114</v>
      </c>
      <c r="C51" s="9">
        <v>11203</v>
      </c>
      <c r="D51" s="17" t="s">
        <v>585</v>
      </c>
      <c r="E51" s="20">
        <v>1746.08</v>
      </c>
      <c r="F51" s="20">
        <v>1702.9</v>
      </c>
      <c r="G51" s="20"/>
      <c r="H51" s="20"/>
      <c r="I51" s="20"/>
      <c r="J51" s="20"/>
      <c r="K51" s="22"/>
      <c r="L51" s="20"/>
      <c r="M51" s="20"/>
      <c r="N51" s="20"/>
      <c r="O51" s="20"/>
      <c r="P51" s="20"/>
      <c r="Q51" s="20">
        <f t="shared" si="2"/>
        <v>3448.98</v>
      </c>
    </row>
    <row r="52" spans="1:17" ht="12.75">
      <c r="A52" s="73">
        <f t="shared" si="1"/>
        <v>45</v>
      </c>
      <c r="B52" s="9" t="s">
        <v>115</v>
      </c>
      <c r="C52" s="9">
        <v>11130</v>
      </c>
      <c r="D52" s="17">
        <v>14</v>
      </c>
      <c r="E52" s="22">
        <f>ROUND(0.04*521.42,0)*3.53*14</f>
        <v>1037.82</v>
      </c>
      <c r="F52" s="22">
        <f>ROUND(0.04*409.08,0)*3.53*14</f>
        <v>790.7199999999999</v>
      </c>
      <c r="G52" s="22">
        <f>ROUND(0.04*366.33,0)*3.53*14</f>
        <v>741.3</v>
      </c>
      <c r="H52" s="22">
        <f>ROUND(0.04*254.17,0)*3.53*14</f>
        <v>494.19999999999993</v>
      </c>
      <c r="I52" s="20"/>
      <c r="J52" s="20"/>
      <c r="K52" s="22"/>
      <c r="L52" s="22"/>
      <c r="M52" s="22"/>
      <c r="N52" s="22"/>
      <c r="O52" s="22"/>
      <c r="P52" s="22"/>
      <c r="Q52" s="20">
        <f t="shared" si="2"/>
        <v>3064.04</v>
      </c>
    </row>
    <row r="53" spans="1:17" ht="12.75">
      <c r="A53" s="73">
        <f t="shared" si="1"/>
        <v>46</v>
      </c>
      <c r="B53" s="48" t="s">
        <v>116</v>
      </c>
      <c r="C53" s="10">
        <v>11331</v>
      </c>
      <c r="D53" s="49" t="s">
        <v>584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>
        <f t="shared" si="2"/>
        <v>0</v>
      </c>
    </row>
    <row r="54" spans="1:17" ht="12.75">
      <c r="A54" s="73">
        <f t="shared" si="1"/>
        <v>47</v>
      </c>
      <c r="B54" s="9" t="s">
        <v>117</v>
      </c>
      <c r="C54" s="9">
        <v>11132</v>
      </c>
      <c r="D54" s="17">
        <v>14</v>
      </c>
      <c r="E54" s="22">
        <f>ROUND(0.04*521.42,0)*3.53*14</f>
        <v>1037.82</v>
      </c>
      <c r="F54" s="22">
        <f>ROUND(0.04*409.08,0)*3.53*14</f>
        <v>790.7199999999999</v>
      </c>
      <c r="G54" s="22">
        <f>ROUND(0.04*366.33,0)*3.53*14</f>
        <v>741.3</v>
      </c>
      <c r="H54" s="22">
        <f>ROUND(0.04*254.17,0)*3.53*14</f>
        <v>494.19999999999993</v>
      </c>
      <c r="I54" s="20"/>
      <c r="J54" s="20"/>
      <c r="K54" s="22"/>
      <c r="L54" s="22"/>
      <c r="M54" s="22"/>
      <c r="N54" s="22"/>
      <c r="O54" s="22"/>
      <c r="P54" s="22"/>
      <c r="Q54" s="20">
        <f t="shared" si="2"/>
        <v>3064.04</v>
      </c>
    </row>
    <row r="55" spans="1:17" ht="12.75">
      <c r="A55" s="73">
        <f t="shared" si="1"/>
        <v>48</v>
      </c>
      <c r="B55" s="9" t="s">
        <v>118</v>
      </c>
      <c r="C55" s="9">
        <v>11333</v>
      </c>
      <c r="D55" s="17" t="s">
        <v>585</v>
      </c>
      <c r="E55" s="20">
        <v>295.68</v>
      </c>
      <c r="F55" s="20">
        <v>458.45</v>
      </c>
      <c r="G55" s="20"/>
      <c r="H55" s="20"/>
      <c r="I55" s="20"/>
      <c r="J55" s="20"/>
      <c r="K55" s="22"/>
      <c r="L55" s="20"/>
      <c r="M55" s="20"/>
      <c r="N55" s="20"/>
      <c r="O55" s="20"/>
      <c r="P55" s="20"/>
      <c r="Q55" s="20">
        <f t="shared" si="2"/>
        <v>754.13</v>
      </c>
    </row>
    <row r="56" spans="1:17" ht="12.75">
      <c r="A56" s="73">
        <f t="shared" si="1"/>
        <v>49</v>
      </c>
      <c r="B56" s="27" t="s">
        <v>119</v>
      </c>
      <c r="C56" s="12">
        <v>32034</v>
      </c>
      <c r="D56" s="26" t="s">
        <v>583</v>
      </c>
      <c r="E56" s="20">
        <v>19393.82</v>
      </c>
      <c r="F56" s="20">
        <v>20678.74</v>
      </c>
      <c r="G56" s="20"/>
      <c r="H56" s="20"/>
      <c r="I56" s="20"/>
      <c r="J56" s="20"/>
      <c r="K56" s="22"/>
      <c r="L56" s="20"/>
      <c r="M56" s="20"/>
      <c r="N56" s="20"/>
      <c r="O56" s="20"/>
      <c r="P56" s="20"/>
      <c r="Q56" s="20">
        <f t="shared" si="2"/>
        <v>40072.56</v>
      </c>
    </row>
    <row r="57" spans="1:17" ht="12.75">
      <c r="A57" s="73">
        <f t="shared" si="1"/>
        <v>50</v>
      </c>
      <c r="B57" s="9" t="s">
        <v>120</v>
      </c>
      <c r="C57" s="9">
        <v>11335</v>
      </c>
      <c r="D57" s="17" t="s">
        <v>585</v>
      </c>
      <c r="E57" s="20">
        <v>658.28</v>
      </c>
      <c r="F57" s="20">
        <v>570.94</v>
      </c>
      <c r="G57" s="20"/>
      <c r="H57" s="20"/>
      <c r="I57" s="20"/>
      <c r="J57" s="20"/>
      <c r="K57" s="22"/>
      <c r="L57" s="20"/>
      <c r="M57" s="20"/>
      <c r="N57" s="20"/>
      <c r="O57" s="20"/>
      <c r="P57" s="20"/>
      <c r="Q57" s="20">
        <f t="shared" si="2"/>
        <v>1229.22</v>
      </c>
    </row>
    <row r="58" spans="1:17" ht="12.75">
      <c r="A58" s="73">
        <f t="shared" si="1"/>
        <v>51</v>
      </c>
      <c r="B58" s="9" t="s">
        <v>121</v>
      </c>
      <c r="C58" s="9">
        <v>11136</v>
      </c>
      <c r="D58" s="17" t="s">
        <v>585</v>
      </c>
      <c r="E58" s="20">
        <v>2290.69</v>
      </c>
      <c r="F58" s="20">
        <v>2082.07</v>
      </c>
      <c r="G58" s="20"/>
      <c r="H58" s="20"/>
      <c r="I58" s="20"/>
      <c r="J58" s="20"/>
      <c r="K58" s="22"/>
      <c r="L58" s="20"/>
      <c r="M58" s="20"/>
      <c r="N58" s="20"/>
      <c r="O58" s="20"/>
      <c r="P58" s="20"/>
      <c r="Q58" s="20">
        <f t="shared" si="2"/>
        <v>4372.76</v>
      </c>
    </row>
    <row r="59" spans="1:17" ht="12.75">
      <c r="A59" s="73">
        <f t="shared" si="1"/>
        <v>52</v>
      </c>
      <c r="B59" s="9" t="s">
        <v>122</v>
      </c>
      <c r="C59" s="9">
        <v>11467</v>
      </c>
      <c r="D59" s="17" t="s">
        <v>585</v>
      </c>
      <c r="E59" s="20">
        <v>135.73</v>
      </c>
      <c r="F59" s="20">
        <v>119.44</v>
      </c>
      <c r="G59" s="20"/>
      <c r="H59" s="20"/>
      <c r="I59" s="20"/>
      <c r="J59" s="20"/>
      <c r="K59" s="22"/>
      <c r="L59" s="20"/>
      <c r="M59" s="20"/>
      <c r="N59" s="20"/>
      <c r="O59" s="20"/>
      <c r="P59" s="20"/>
      <c r="Q59" s="20">
        <f t="shared" si="2"/>
        <v>255.17</v>
      </c>
    </row>
    <row r="60" spans="1:17" ht="12.75">
      <c r="A60" s="73">
        <f t="shared" si="1"/>
        <v>53</v>
      </c>
      <c r="B60" s="9" t="s">
        <v>123</v>
      </c>
      <c r="C60" s="9">
        <v>11138</v>
      </c>
      <c r="D60" s="17" t="s">
        <v>585</v>
      </c>
      <c r="E60" s="20">
        <v>136.41</v>
      </c>
      <c r="F60" s="20">
        <v>110.15</v>
      </c>
      <c r="G60" s="20"/>
      <c r="H60" s="20"/>
      <c r="I60" s="20"/>
      <c r="J60" s="20"/>
      <c r="K60" s="22"/>
      <c r="L60" s="20"/>
      <c r="M60" s="20"/>
      <c r="N60" s="20"/>
      <c r="O60" s="20"/>
      <c r="P60" s="20"/>
      <c r="Q60" s="20">
        <f t="shared" si="2"/>
        <v>246.56</v>
      </c>
    </row>
    <row r="61" spans="1:17" ht="12.75">
      <c r="A61" s="73">
        <f t="shared" si="1"/>
        <v>54</v>
      </c>
      <c r="B61" s="9" t="s">
        <v>124</v>
      </c>
      <c r="C61" s="9">
        <v>11469</v>
      </c>
      <c r="D61" s="17">
        <v>2</v>
      </c>
      <c r="E61" s="22">
        <f>ROUND(0.04*521.42,0)*3.53*2</f>
        <v>148.26</v>
      </c>
      <c r="F61" s="22">
        <f>ROUND(0.04*409.08,0)*3.53*2</f>
        <v>112.96</v>
      </c>
      <c r="G61" s="22">
        <f>ROUND(0.04*366.33,0)*3.53*2</f>
        <v>105.89999999999999</v>
      </c>
      <c r="H61" s="22">
        <f>ROUND(0.04*254.17,0)*3.53*2</f>
        <v>70.6</v>
      </c>
      <c r="I61" s="22"/>
      <c r="J61" s="20"/>
      <c r="K61" s="22"/>
      <c r="L61" s="22"/>
      <c r="M61" s="22"/>
      <c r="N61" s="22"/>
      <c r="O61" s="22"/>
      <c r="P61" s="22"/>
      <c r="Q61" s="20">
        <f t="shared" si="2"/>
        <v>437.7199999999999</v>
      </c>
    </row>
    <row r="62" spans="1:17" ht="12.75">
      <c r="A62" s="73">
        <f t="shared" si="1"/>
        <v>55</v>
      </c>
      <c r="B62" s="9" t="s">
        <v>125</v>
      </c>
      <c r="C62" s="9">
        <v>11140</v>
      </c>
      <c r="D62" s="17" t="s">
        <v>585</v>
      </c>
      <c r="E62" s="20">
        <v>392.61</v>
      </c>
      <c r="F62" s="20">
        <v>393.61</v>
      </c>
      <c r="G62" s="20"/>
      <c r="H62" s="20"/>
      <c r="I62" s="20"/>
      <c r="J62" s="20"/>
      <c r="K62" s="22"/>
      <c r="L62" s="20"/>
      <c r="M62" s="20"/>
      <c r="N62" s="20"/>
      <c r="O62" s="20"/>
      <c r="P62" s="20"/>
      <c r="Q62" s="20">
        <f t="shared" si="2"/>
        <v>786.22</v>
      </c>
    </row>
    <row r="63" spans="1:17" ht="12.75">
      <c r="A63" s="73">
        <f t="shared" si="1"/>
        <v>56</v>
      </c>
      <c r="B63" s="9" t="s">
        <v>126</v>
      </c>
      <c r="C63" s="9">
        <v>11102</v>
      </c>
      <c r="D63" s="17" t="s">
        <v>585</v>
      </c>
      <c r="E63" s="20">
        <v>1079.57</v>
      </c>
      <c r="F63" s="20">
        <v>760.98</v>
      </c>
      <c r="G63" s="20"/>
      <c r="H63" s="20"/>
      <c r="I63" s="20"/>
      <c r="J63" s="20"/>
      <c r="K63" s="22"/>
      <c r="L63" s="20"/>
      <c r="M63" s="20"/>
      <c r="N63" s="20"/>
      <c r="O63" s="20"/>
      <c r="P63" s="20"/>
      <c r="Q63" s="20">
        <f t="shared" si="2"/>
        <v>1840.55</v>
      </c>
    </row>
    <row r="64" spans="1:17" ht="12.75">
      <c r="A64" s="73">
        <f t="shared" si="1"/>
        <v>57</v>
      </c>
      <c r="B64" s="9" t="s">
        <v>127</v>
      </c>
      <c r="C64" s="9">
        <v>11142</v>
      </c>
      <c r="D64" s="17" t="s">
        <v>585</v>
      </c>
      <c r="E64" s="20">
        <v>351.12</v>
      </c>
      <c r="F64" s="20">
        <v>477.66</v>
      </c>
      <c r="G64" s="20"/>
      <c r="H64" s="20"/>
      <c r="I64" s="20"/>
      <c r="J64" s="20"/>
      <c r="K64" s="22"/>
      <c r="L64" s="20"/>
      <c r="M64" s="20"/>
      <c r="N64" s="20"/>
      <c r="O64" s="20"/>
      <c r="P64" s="20"/>
      <c r="Q64" s="20">
        <f t="shared" si="2"/>
        <v>828.78</v>
      </c>
    </row>
    <row r="65" spans="1:17" ht="12.75">
      <c r="A65" s="73">
        <f t="shared" si="1"/>
        <v>58</v>
      </c>
      <c r="B65" s="9" t="s">
        <v>128</v>
      </c>
      <c r="C65" s="9">
        <v>11473</v>
      </c>
      <c r="D65" s="17" t="s">
        <v>584</v>
      </c>
      <c r="E65" s="20"/>
      <c r="F65" s="20"/>
      <c r="G65" s="20"/>
      <c r="H65" s="20"/>
      <c r="I65" s="20"/>
      <c r="J65" s="20"/>
      <c r="K65" s="22"/>
      <c r="L65" s="20"/>
      <c r="M65" s="20"/>
      <c r="N65" s="20"/>
      <c r="O65" s="20"/>
      <c r="P65" s="20"/>
      <c r="Q65" s="20">
        <f t="shared" si="2"/>
        <v>0</v>
      </c>
    </row>
    <row r="66" spans="1:17" ht="12.75">
      <c r="A66" s="73">
        <f t="shared" si="1"/>
        <v>59</v>
      </c>
      <c r="B66" s="9" t="s">
        <v>129</v>
      </c>
      <c r="C66" s="9">
        <v>11475</v>
      </c>
      <c r="D66" s="17" t="s">
        <v>585</v>
      </c>
      <c r="E66" s="20">
        <v>51.21</v>
      </c>
      <c r="F66" s="20">
        <v>76.11</v>
      </c>
      <c r="G66" s="20"/>
      <c r="H66" s="20"/>
      <c r="I66" s="20"/>
      <c r="J66" s="20"/>
      <c r="K66" s="22"/>
      <c r="L66" s="20"/>
      <c r="M66" s="20"/>
      <c r="N66" s="20"/>
      <c r="O66" s="20"/>
      <c r="P66" s="20"/>
      <c r="Q66" s="20">
        <f t="shared" si="2"/>
        <v>127.32</v>
      </c>
    </row>
    <row r="67" spans="1:17" ht="12.75">
      <c r="A67" s="73">
        <f t="shared" si="1"/>
        <v>60</v>
      </c>
      <c r="B67" s="9" t="s">
        <v>130</v>
      </c>
      <c r="C67" s="9">
        <v>11146</v>
      </c>
      <c r="D67" s="17" t="s">
        <v>585</v>
      </c>
      <c r="E67" s="20">
        <v>704.33</v>
      </c>
      <c r="F67" s="20">
        <v>780.39</v>
      </c>
      <c r="G67" s="20"/>
      <c r="H67" s="20"/>
      <c r="I67" s="20"/>
      <c r="J67" s="20"/>
      <c r="K67" s="22"/>
      <c r="L67" s="20"/>
      <c r="M67" s="20"/>
      <c r="N67" s="20"/>
      <c r="O67" s="20"/>
      <c r="P67" s="20"/>
      <c r="Q67" s="20">
        <f t="shared" si="2"/>
        <v>1484.72</v>
      </c>
    </row>
    <row r="68" spans="1:17" ht="12.75">
      <c r="A68" s="73">
        <f t="shared" si="1"/>
        <v>61</v>
      </c>
      <c r="B68" s="9" t="s">
        <v>131</v>
      </c>
      <c r="C68" s="9">
        <v>11148</v>
      </c>
      <c r="D68" s="17" t="s">
        <v>585</v>
      </c>
      <c r="E68" s="20">
        <v>869.29</v>
      </c>
      <c r="F68" s="20">
        <v>769.84</v>
      </c>
      <c r="G68" s="20"/>
      <c r="H68" s="20"/>
      <c r="I68" s="20"/>
      <c r="J68" s="20"/>
      <c r="K68" s="22"/>
      <c r="L68" s="20"/>
      <c r="M68" s="20"/>
      <c r="N68" s="20"/>
      <c r="O68" s="20"/>
      <c r="P68" s="20"/>
      <c r="Q68" s="20">
        <f t="shared" si="2"/>
        <v>1639.13</v>
      </c>
    </row>
    <row r="69" spans="1:17" ht="12.75">
      <c r="A69" s="73">
        <f t="shared" si="1"/>
        <v>62</v>
      </c>
      <c r="B69" s="9" t="s">
        <v>132</v>
      </c>
      <c r="C69" s="9">
        <v>11109</v>
      </c>
      <c r="D69" s="17" t="s">
        <v>585</v>
      </c>
      <c r="E69" s="20">
        <v>1670.85</v>
      </c>
      <c r="F69" s="20">
        <v>1784.22</v>
      </c>
      <c r="G69" s="20"/>
      <c r="H69" s="20"/>
      <c r="I69" s="20"/>
      <c r="J69" s="20"/>
      <c r="K69" s="22"/>
      <c r="L69" s="20"/>
      <c r="M69" s="20"/>
      <c r="N69" s="20"/>
      <c r="O69" s="20"/>
      <c r="P69" s="20"/>
      <c r="Q69" s="20">
        <f t="shared" si="2"/>
        <v>3455.0699999999997</v>
      </c>
    </row>
    <row r="70" spans="1:17" ht="12.75">
      <c r="A70" s="73">
        <f t="shared" si="1"/>
        <v>63</v>
      </c>
      <c r="B70" s="9" t="s">
        <v>133</v>
      </c>
      <c r="C70" s="9">
        <v>11149</v>
      </c>
      <c r="D70" s="17" t="s">
        <v>585</v>
      </c>
      <c r="E70" s="20">
        <v>1155.35</v>
      </c>
      <c r="F70" s="20">
        <v>1529.08</v>
      </c>
      <c r="G70" s="20"/>
      <c r="H70" s="20"/>
      <c r="I70" s="20"/>
      <c r="J70" s="20"/>
      <c r="K70" s="22"/>
      <c r="L70" s="20"/>
      <c r="M70" s="20"/>
      <c r="N70" s="20"/>
      <c r="O70" s="20"/>
      <c r="P70" s="20"/>
      <c r="Q70" s="20">
        <f t="shared" si="2"/>
        <v>2684.43</v>
      </c>
    </row>
    <row r="71" spans="1:17" ht="12.75">
      <c r="A71" s="73">
        <f t="shared" si="1"/>
        <v>64</v>
      </c>
      <c r="B71" s="9" t="s">
        <v>134</v>
      </c>
      <c r="C71" s="9">
        <v>11152</v>
      </c>
      <c r="D71" s="17" t="s">
        <v>585</v>
      </c>
      <c r="E71" s="20">
        <v>1173.58</v>
      </c>
      <c r="F71" s="20">
        <v>1217.06</v>
      </c>
      <c r="G71" s="20"/>
      <c r="H71" s="20"/>
      <c r="I71" s="20"/>
      <c r="J71" s="20"/>
      <c r="K71" s="22"/>
      <c r="L71" s="20"/>
      <c r="M71" s="20"/>
      <c r="N71" s="20"/>
      <c r="O71" s="20"/>
      <c r="P71" s="20"/>
      <c r="Q71" s="20">
        <f t="shared" si="2"/>
        <v>2390.64</v>
      </c>
    </row>
    <row r="72" spans="1:17" ht="12.75">
      <c r="A72" s="73">
        <f t="shared" si="1"/>
        <v>65</v>
      </c>
      <c r="B72" s="9" t="s">
        <v>135</v>
      </c>
      <c r="C72" s="9">
        <v>11154</v>
      </c>
      <c r="D72" s="17" t="s">
        <v>585</v>
      </c>
      <c r="E72" s="20">
        <v>1967.31</v>
      </c>
      <c r="F72" s="20">
        <v>1905.9</v>
      </c>
      <c r="G72" s="20"/>
      <c r="H72" s="20"/>
      <c r="I72" s="20"/>
      <c r="J72" s="20"/>
      <c r="K72" s="22"/>
      <c r="L72" s="20"/>
      <c r="M72" s="20"/>
      <c r="N72" s="20"/>
      <c r="O72" s="20"/>
      <c r="P72" s="20"/>
      <c r="Q72" s="20">
        <f t="shared" si="2"/>
        <v>3873.21</v>
      </c>
    </row>
    <row r="73" spans="1:17" ht="12.75">
      <c r="A73" s="73">
        <f t="shared" si="1"/>
        <v>66</v>
      </c>
      <c r="B73" s="9" t="s">
        <v>136</v>
      </c>
      <c r="C73" s="9">
        <v>11157</v>
      </c>
      <c r="D73" s="17" t="s">
        <v>585</v>
      </c>
      <c r="E73" s="20">
        <v>1090.56</v>
      </c>
      <c r="F73" s="20">
        <v>636.63</v>
      </c>
      <c r="G73" s="20"/>
      <c r="H73" s="20"/>
      <c r="I73" s="20"/>
      <c r="J73" s="20"/>
      <c r="K73" s="22"/>
      <c r="L73" s="20"/>
      <c r="M73" s="20"/>
      <c r="N73" s="20"/>
      <c r="O73" s="20"/>
      <c r="P73" s="20"/>
      <c r="Q73" s="20">
        <f aca="true" t="shared" si="3" ref="Q73:Q104">E73+F73+G73+H73+I73+J73+K73+L73+M73+N73+O73+P73</f>
        <v>1727.19</v>
      </c>
    </row>
    <row r="74" spans="1:17" ht="12.75">
      <c r="A74" s="73">
        <f aca="true" t="shared" si="4" ref="A74:A137">A73+1</f>
        <v>67</v>
      </c>
      <c r="B74" s="9" t="s">
        <v>137</v>
      </c>
      <c r="C74" s="9">
        <v>11107</v>
      </c>
      <c r="D74" s="17" t="s">
        <v>589</v>
      </c>
      <c r="E74" s="43"/>
      <c r="F74" s="20"/>
      <c r="G74" s="20"/>
      <c r="H74" s="20"/>
      <c r="I74" s="20"/>
      <c r="J74" s="20"/>
      <c r="K74" s="22"/>
      <c r="L74" s="20"/>
      <c r="M74" s="20"/>
      <c r="N74" s="43"/>
      <c r="O74" s="43"/>
      <c r="P74" s="43"/>
      <c r="Q74" s="20">
        <f t="shared" si="3"/>
        <v>0</v>
      </c>
    </row>
    <row r="75" spans="1:17" ht="12.75">
      <c r="A75" s="73">
        <f t="shared" si="4"/>
        <v>68</v>
      </c>
      <c r="B75" s="9" t="s">
        <v>138</v>
      </c>
      <c r="C75" s="9">
        <v>11160</v>
      </c>
      <c r="D75" s="17" t="s">
        <v>585</v>
      </c>
      <c r="E75" s="22">
        <v>2626.65</v>
      </c>
      <c r="F75" s="20">
        <v>2369.59</v>
      </c>
      <c r="G75" s="20"/>
      <c r="H75" s="20"/>
      <c r="I75" s="20"/>
      <c r="J75" s="20"/>
      <c r="K75" s="22"/>
      <c r="L75" s="20"/>
      <c r="M75" s="20"/>
      <c r="N75" s="22"/>
      <c r="O75" s="22"/>
      <c r="P75" s="22"/>
      <c r="Q75" s="20">
        <f t="shared" si="3"/>
        <v>4996.24</v>
      </c>
    </row>
    <row r="76" spans="1:17" ht="12.75">
      <c r="A76" s="73">
        <f t="shared" si="4"/>
        <v>69</v>
      </c>
      <c r="B76" s="9" t="s">
        <v>139</v>
      </c>
      <c r="C76" s="9">
        <v>11108</v>
      </c>
      <c r="D76" s="17" t="s">
        <v>585</v>
      </c>
      <c r="E76" s="20">
        <v>1072.09</v>
      </c>
      <c r="F76" s="20">
        <v>1349.54</v>
      </c>
      <c r="G76" s="20"/>
      <c r="H76" s="20"/>
      <c r="I76" s="20"/>
      <c r="J76" s="20"/>
      <c r="K76" s="22"/>
      <c r="L76" s="20"/>
      <c r="M76" s="20"/>
      <c r="N76" s="20"/>
      <c r="O76" s="20"/>
      <c r="P76" s="20"/>
      <c r="Q76" s="20">
        <f t="shared" si="3"/>
        <v>2421.63</v>
      </c>
    </row>
    <row r="77" spans="1:17" ht="12.75">
      <c r="A77" s="73">
        <f t="shared" si="4"/>
        <v>70</v>
      </c>
      <c r="B77" s="9" t="s">
        <v>140</v>
      </c>
      <c r="C77" s="9">
        <v>11309</v>
      </c>
      <c r="D77" s="17" t="s">
        <v>585</v>
      </c>
      <c r="E77" s="20">
        <v>1892.51</v>
      </c>
      <c r="F77" s="20">
        <v>1966.15</v>
      </c>
      <c r="G77" s="20"/>
      <c r="H77" s="20"/>
      <c r="I77" s="20"/>
      <c r="J77" s="20"/>
      <c r="K77" s="22"/>
      <c r="L77" s="20"/>
      <c r="M77" s="20"/>
      <c r="N77" s="20"/>
      <c r="O77" s="20"/>
      <c r="P77" s="20"/>
      <c r="Q77" s="20">
        <f t="shared" si="3"/>
        <v>3858.66</v>
      </c>
    </row>
    <row r="78" spans="1:17" ht="12.75">
      <c r="A78" s="73">
        <f t="shared" si="4"/>
        <v>71</v>
      </c>
      <c r="B78" s="9" t="s">
        <v>141</v>
      </c>
      <c r="C78" s="9">
        <v>12401</v>
      </c>
      <c r="D78" s="31" t="s">
        <v>588</v>
      </c>
      <c r="E78" s="20">
        <v>7147.71</v>
      </c>
      <c r="F78" s="20">
        <v>4223.16</v>
      </c>
      <c r="G78" s="20"/>
      <c r="H78" s="20"/>
      <c r="I78" s="20"/>
      <c r="J78" s="20"/>
      <c r="K78" s="22"/>
      <c r="L78" s="20"/>
      <c r="M78" s="20"/>
      <c r="N78" s="20"/>
      <c r="O78" s="20"/>
      <c r="P78" s="20"/>
      <c r="Q78" s="20">
        <f t="shared" si="3"/>
        <v>11370.869999999999</v>
      </c>
    </row>
    <row r="79" spans="1:231" s="44" customFormat="1" ht="12.75">
      <c r="A79" s="73">
        <f t="shared" si="4"/>
        <v>72</v>
      </c>
      <c r="B79" s="9" t="s">
        <v>142</v>
      </c>
      <c r="C79" s="9">
        <v>12405</v>
      </c>
      <c r="D79" s="17" t="s">
        <v>585</v>
      </c>
      <c r="E79" s="20">
        <v>2890.98</v>
      </c>
      <c r="F79" s="20">
        <v>2890.98</v>
      </c>
      <c r="G79" s="20"/>
      <c r="H79" s="20"/>
      <c r="I79" s="20"/>
      <c r="J79" s="20"/>
      <c r="K79" s="22"/>
      <c r="L79" s="20"/>
      <c r="M79" s="20"/>
      <c r="N79" s="20"/>
      <c r="O79" s="20"/>
      <c r="P79" s="20"/>
      <c r="Q79" s="20">
        <f t="shared" si="3"/>
        <v>5781.96</v>
      </c>
      <c r="R79" s="34"/>
      <c r="S79" s="34"/>
      <c r="T79" s="34"/>
      <c r="U79" s="34"/>
      <c r="V79" s="34"/>
      <c r="W79" s="34"/>
      <c r="X79" s="34"/>
      <c r="Y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</row>
    <row r="80" spans="1:17" ht="12.75">
      <c r="A80" s="73">
        <f t="shared" si="4"/>
        <v>73</v>
      </c>
      <c r="B80" s="9" t="s">
        <v>143</v>
      </c>
      <c r="C80" s="9">
        <v>12402</v>
      </c>
      <c r="D80" s="17" t="s">
        <v>585</v>
      </c>
      <c r="E80" s="20">
        <v>3815.74</v>
      </c>
      <c r="F80" s="20">
        <v>2559.88</v>
      </c>
      <c r="G80" s="20"/>
      <c r="H80" s="20"/>
      <c r="I80" s="20"/>
      <c r="J80" s="20"/>
      <c r="K80" s="22"/>
      <c r="L80" s="20"/>
      <c r="M80" s="20"/>
      <c r="N80" s="20"/>
      <c r="O80" s="20"/>
      <c r="P80" s="20"/>
      <c r="Q80" s="20">
        <f t="shared" si="3"/>
        <v>6375.62</v>
      </c>
    </row>
    <row r="81" spans="1:17" ht="12.75">
      <c r="A81" s="73">
        <f t="shared" si="4"/>
        <v>74</v>
      </c>
      <c r="B81" s="9" t="s">
        <v>144</v>
      </c>
      <c r="C81" s="9">
        <v>12403</v>
      </c>
      <c r="D81" s="17" t="s">
        <v>590</v>
      </c>
      <c r="E81" s="20">
        <v>0</v>
      </c>
      <c r="F81" s="20">
        <v>0</v>
      </c>
      <c r="G81" s="20">
        <v>0</v>
      </c>
      <c r="H81" s="20">
        <v>0</v>
      </c>
      <c r="I81" s="20"/>
      <c r="J81" s="20"/>
      <c r="K81" s="22"/>
      <c r="L81" s="20"/>
      <c r="M81" s="20"/>
      <c r="N81" s="20"/>
      <c r="O81" s="20"/>
      <c r="P81" s="20"/>
      <c r="Q81" s="20">
        <f t="shared" si="3"/>
        <v>0</v>
      </c>
    </row>
    <row r="82" spans="1:17" ht="12.75">
      <c r="A82" s="73">
        <f t="shared" si="4"/>
        <v>75</v>
      </c>
      <c r="B82" s="9" t="s">
        <v>145</v>
      </c>
      <c r="C82" s="9">
        <v>12404</v>
      </c>
      <c r="D82" s="17" t="s">
        <v>585</v>
      </c>
      <c r="E82" s="20">
        <v>1642.6</v>
      </c>
      <c r="F82" s="20">
        <v>1328.49</v>
      </c>
      <c r="G82" s="20"/>
      <c r="H82" s="20"/>
      <c r="I82" s="20"/>
      <c r="J82" s="20"/>
      <c r="K82" s="22"/>
      <c r="L82" s="20"/>
      <c r="M82" s="20"/>
      <c r="N82" s="20"/>
      <c r="O82" s="20"/>
      <c r="P82" s="20"/>
      <c r="Q82" s="20">
        <f t="shared" si="3"/>
        <v>2971.09</v>
      </c>
    </row>
    <row r="83" spans="1:17" ht="12.75">
      <c r="A83" s="73">
        <f t="shared" si="4"/>
        <v>76</v>
      </c>
      <c r="B83" s="9" t="s">
        <v>146</v>
      </c>
      <c r="C83" s="9">
        <v>21308</v>
      </c>
      <c r="D83" s="17">
        <v>2</v>
      </c>
      <c r="E83" s="22">
        <f>ROUND(0.04*521.42,0)*3.53*2</f>
        <v>148.26</v>
      </c>
      <c r="F83" s="20">
        <v>2339.55</v>
      </c>
      <c r="G83" s="20"/>
      <c r="H83" s="20"/>
      <c r="I83" s="22"/>
      <c r="J83" s="20"/>
      <c r="K83" s="22"/>
      <c r="L83" s="22"/>
      <c r="M83" s="22"/>
      <c r="N83" s="22"/>
      <c r="O83" s="22"/>
      <c r="P83" s="22"/>
      <c r="Q83" s="20">
        <f t="shared" si="3"/>
        <v>2487.8100000000004</v>
      </c>
    </row>
    <row r="84" spans="1:17" ht="12.75">
      <c r="A84" s="73">
        <f t="shared" si="4"/>
        <v>77</v>
      </c>
      <c r="B84" s="10" t="s">
        <v>147</v>
      </c>
      <c r="C84" s="10">
        <v>21309</v>
      </c>
      <c r="D84" s="45">
        <v>2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>
        <f t="shared" si="3"/>
        <v>0</v>
      </c>
    </row>
    <row r="85" spans="1:17" ht="12.75">
      <c r="A85" s="73">
        <f t="shared" si="4"/>
        <v>78</v>
      </c>
      <c r="B85" s="9" t="s">
        <v>148</v>
      </c>
      <c r="C85" s="9">
        <v>22155</v>
      </c>
      <c r="D85" s="17">
        <v>3</v>
      </c>
      <c r="E85" s="22">
        <f>ROUND(0.04*521.42,0)*3.53*3</f>
        <v>222.39</v>
      </c>
      <c r="F85" s="22">
        <f>ROUND(0.04*409.08,0)*3.53*3</f>
        <v>169.44</v>
      </c>
      <c r="G85" s="22">
        <f>ROUND(0.04*366.33,0)*3.53*3</f>
        <v>158.85</v>
      </c>
      <c r="H85" s="22">
        <f>ROUND(0.04*254.17,0)*3.53*3</f>
        <v>105.89999999999999</v>
      </c>
      <c r="I85" s="20"/>
      <c r="J85" s="20"/>
      <c r="K85" s="22"/>
      <c r="L85" s="22"/>
      <c r="M85" s="22"/>
      <c r="N85" s="22"/>
      <c r="O85" s="22"/>
      <c r="P85" s="22"/>
      <c r="Q85" s="20">
        <f t="shared" si="3"/>
        <v>656.5799999999999</v>
      </c>
    </row>
    <row r="86" spans="1:17" ht="12.75">
      <c r="A86" s="73">
        <f t="shared" si="4"/>
        <v>79</v>
      </c>
      <c r="B86" s="9" t="s">
        <v>149</v>
      </c>
      <c r="C86" s="9">
        <v>22190</v>
      </c>
      <c r="D86" s="17">
        <v>3</v>
      </c>
      <c r="E86" s="22">
        <f>ROUND(0.04*521.42,0)*3.53*3</f>
        <v>222.39</v>
      </c>
      <c r="F86" s="22">
        <f>ROUND(0.04*409.08,0)*3.53*3</f>
        <v>169.44</v>
      </c>
      <c r="G86" s="22">
        <f>ROUND(0.04*366.33,0)*3.53*3</f>
        <v>158.85</v>
      </c>
      <c r="H86" s="22">
        <f>ROUND(0.04*254.17,0)*3.53*3</f>
        <v>105.89999999999999</v>
      </c>
      <c r="I86" s="20"/>
      <c r="J86" s="20"/>
      <c r="K86" s="22"/>
      <c r="L86" s="22"/>
      <c r="M86" s="22"/>
      <c r="N86" s="22"/>
      <c r="O86" s="22"/>
      <c r="P86" s="22"/>
      <c r="Q86" s="20">
        <f t="shared" si="3"/>
        <v>656.5799999999999</v>
      </c>
    </row>
    <row r="87" spans="1:17" ht="12.75">
      <c r="A87" s="73">
        <f t="shared" si="4"/>
        <v>80</v>
      </c>
      <c r="B87" s="9" t="s">
        <v>150</v>
      </c>
      <c r="C87" s="9">
        <v>22191</v>
      </c>
      <c r="D87" s="17">
        <v>4</v>
      </c>
      <c r="E87" s="22"/>
      <c r="F87" s="22"/>
      <c r="G87" s="22"/>
      <c r="H87" s="22"/>
      <c r="I87" s="20"/>
      <c r="J87" s="20"/>
      <c r="K87" s="22"/>
      <c r="L87" s="22"/>
      <c r="M87" s="22"/>
      <c r="N87" s="22"/>
      <c r="O87" s="22"/>
      <c r="P87" s="22"/>
      <c r="Q87" s="20">
        <f t="shared" si="3"/>
        <v>0</v>
      </c>
    </row>
    <row r="88" spans="1:17" ht="12.75">
      <c r="A88" s="73">
        <f t="shared" si="4"/>
        <v>81</v>
      </c>
      <c r="B88" s="9" t="s">
        <v>151</v>
      </c>
      <c r="C88" s="9">
        <v>22192</v>
      </c>
      <c r="D88" s="17">
        <v>3</v>
      </c>
      <c r="E88" s="22">
        <f>ROUND(0.04*521.42,0)*3.53*3</f>
        <v>222.39</v>
      </c>
      <c r="F88" s="22">
        <f>ROUND(0.04*409.08,0)*3.53*3</f>
        <v>169.44</v>
      </c>
      <c r="G88" s="22">
        <f>ROUND(0.04*366.33,0)*3.53*3</f>
        <v>158.85</v>
      </c>
      <c r="H88" s="22">
        <f>ROUND(0.04*254.17,0)*3.53*3</f>
        <v>105.89999999999999</v>
      </c>
      <c r="I88" s="20"/>
      <c r="J88" s="20"/>
      <c r="K88" s="22"/>
      <c r="L88" s="22"/>
      <c r="M88" s="22"/>
      <c r="N88" s="22"/>
      <c r="O88" s="22"/>
      <c r="P88" s="22"/>
      <c r="Q88" s="20">
        <f t="shared" si="3"/>
        <v>656.5799999999999</v>
      </c>
    </row>
    <row r="89" spans="1:17" ht="12.75">
      <c r="A89" s="73">
        <f t="shared" si="4"/>
        <v>82</v>
      </c>
      <c r="B89" s="10" t="s">
        <v>152</v>
      </c>
      <c r="C89" s="10">
        <v>22167</v>
      </c>
      <c r="D89" s="45" t="s">
        <v>584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>
        <f t="shared" si="3"/>
        <v>0</v>
      </c>
    </row>
    <row r="90" spans="1:17" ht="12.75">
      <c r="A90" s="73">
        <f t="shared" si="4"/>
        <v>83</v>
      </c>
      <c r="B90" s="9" t="s">
        <v>153</v>
      </c>
      <c r="C90" s="9">
        <v>22193</v>
      </c>
      <c r="D90" s="17">
        <v>4</v>
      </c>
      <c r="E90" s="22">
        <f>ROUND(0.04*521.42,0)*3.53*4</f>
        <v>296.52</v>
      </c>
      <c r="F90" s="22">
        <f>ROUND(0.04*409.08,0)*3.53*4</f>
        <v>225.92</v>
      </c>
      <c r="G90" s="22">
        <f>ROUND(0.04*366.33,0)*3.53*4</f>
        <v>211.79999999999998</v>
      </c>
      <c r="H90" s="22">
        <f>ROUND(0.04*254.17,0)*3.53*4</f>
        <v>141.2</v>
      </c>
      <c r="I90" s="20"/>
      <c r="J90" s="20"/>
      <c r="K90" s="22"/>
      <c r="L90" s="22"/>
      <c r="M90" s="22"/>
      <c r="N90" s="22"/>
      <c r="O90" s="22"/>
      <c r="P90" s="22"/>
      <c r="Q90" s="20">
        <f t="shared" si="3"/>
        <v>875.4399999999998</v>
      </c>
    </row>
    <row r="91" spans="1:231" s="44" customFormat="1" ht="12.75">
      <c r="A91" s="73">
        <f t="shared" si="4"/>
        <v>84</v>
      </c>
      <c r="B91" s="10" t="s">
        <v>154</v>
      </c>
      <c r="C91" s="10">
        <v>21313</v>
      </c>
      <c r="D91" s="45" t="s">
        <v>584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>
        <f t="shared" si="3"/>
        <v>0</v>
      </c>
      <c r="R91" s="34"/>
      <c r="S91" s="34"/>
      <c r="T91" s="34"/>
      <c r="U91" s="34"/>
      <c r="V91" s="34"/>
      <c r="W91" s="34"/>
      <c r="X91" s="34"/>
      <c r="Y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</row>
    <row r="92" spans="1:17" ht="12.75">
      <c r="A92" s="73">
        <f t="shared" si="4"/>
        <v>85</v>
      </c>
      <c r="B92" s="9" t="s">
        <v>155</v>
      </c>
      <c r="C92" s="9">
        <v>21315</v>
      </c>
      <c r="D92" s="17">
        <v>1</v>
      </c>
      <c r="E92" s="22">
        <f>ROUND(0.04*521.42,0)*3.53</f>
        <v>74.13</v>
      </c>
      <c r="F92" s="22">
        <f>ROUND(0.04*409.08,0)*3.53</f>
        <v>56.48</v>
      </c>
      <c r="G92" s="22">
        <f>ROUND(0.04*366.33,0)*3.53</f>
        <v>52.949999999999996</v>
      </c>
      <c r="H92" s="22">
        <f>ROUND(0.04*254.17,0)*3.53</f>
        <v>35.3</v>
      </c>
      <c r="I92" s="20"/>
      <c r="J92" s="20"/>
      <c r="K92" s="22"/>
      <c r="L92" s="22"/>
      <c r="M92" s="22"/>
      <c r="N92" s="22"/>
      <c r="O92" s="22"/>
      <c r="P92" s="22"/>
      <c r="Q92" s="20">
        <f t="shared" si="3"/>
        <v>218.85999999999996</v>
      </c>
    </row>
    <row r="93" spans="1:17" ht="12.75">
      <c r="A93" s="73">
        <f t="shared" si="4"/>
        <v>86</v>
      </c>
      <c r="B93" s="9" t="s">
        <v>156</v>
      </c>
      <c r="C93" s="9">
        <v>21150</v>
      </c>
      <c r="D93" s="17">
        <v>0</v>
      </c>
      <c r="E93" s="20"/>
      <c r="F93" s="20"/>
      <c r="G93" s="20"/>
      <c r="H93" s="20"/>
      <c r="I93" s="20"/>
      <c r="J93" s="20"/>
      <c r="K93" s="22"/>
      <c r="L93" s="20"/>
      <c r="M93" s="20"/>
      <c r="N93" s="20"/>
      <c r="O93" s="20"/>
      <c r="P93" s="20"/>
      <c r="Q93" s="20">
        <f t="shared" si="3"/>
        <v>0</v>
      </c>
    </row>
    <row r="94" spans="1:17" ht="12.75">
      <c r="A94" s="73">
        <f t="shared" si="4"/>
        <v>87</v>
      </c>
      <c r="B94" s="10" t="s">
        <v>157</v>
      </c>
      <c r="C94" s="10">
        <v>21152</v>
      </c>
      <c r="D94" s="45">
        <v>2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>
        <f t="shared" si="3"/>
        <v>0</v>
      </c>
    </row>
    <row r="95" spans="1:17" ht="12.75">
      <c r="A95" s="73">
        <f t="shared" si="4"/>
        <v>88</v>
      </c>
      <c r="B95" s="9" t="s">
        <v>158</v>
      </c>
      <c r="C95" s="9">
        <v>21316</v>
      </c>
      <c r="D95" s="17" t="s">
        <v>584</v>
      </c>
      <c r="E95" s="21"/>
      <c r="F95" s="21"/>
      <c r="G95" s="21"/>
      <c r="H95" s="21"/>
      <c r="I95" s="20"/>
      <c r="J95" s="20"/>
      <c r="K95" s="22"/>
      <c r="L95" s="20"/>
      <c r="M95" s="21"/>
      <c r="N95" s="21"/>
      <c r="O95" s="21"/>
      <c r="P95" s="21"/>
      <c r="Q95" s="20">
        <f t="shared" si="3"/>
        <v>0</v>
      </c>
    </row>
    <row r="96" spans="1:17" ht="12.75">
      <c r="A96" s="73">
        <f t="shared" si="4"/>
        <v>89</v>
      </c>
      <c r="B96" s="10" t="s">
        <v>159</v>
      </c>
      <c r="C96" s="10">
        <v>12007</v>
      </c>
      <c r="D96" s="45" t="s">
        <v>585</v>
      </c>
      <c r="E96" s="43">
        <v>0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>
        <f t="shared" si="3"/>
        <v>0</v>
      </c>
    </row>
    <row r="97" spans="1:17" ht="12.75">
      <c r="A97" s="73">
        <f t="shared" si="4"/>
        <v>90</v>
      </c>
      <c r="B97" s="10" t="s">
        <v>160</v>
      </c>
      <c r="C97" s="10">
        <v>21842</v>
      </c>
      <c r="D97" s="45">
        <v>0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>
        <f t="shared" si="3"/>
        <v>0</v>
      </c>
    </row>
    <row r="98" spans="1:17" ht="12.75">
      <c r="A98" s="73">
        <f t="shared" si="4"/>
        <v>91</v>
      </c>
      <c r="B98" s="10" t="s">
        <v>161</v>
      </c>
      <c r="C98" s="10">
        <v>21843</v>
      </c>
      <c r="D98" s="45">
        <v>0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>
        <f t="shared" si="3"/>
        <v>0</v>
      </c>
    </row>
    <row r="99" spans="1:17" ht="12.75">
      <c r="A99" s="73">
        <f t="shared" si="4"/>
        <v>92</v>
      </c>
      <c r="B99" s="9" t="s">
        <v>162</v>
      </c>
      <c r="C99" s="9">
        <v>21844</v>
      </c>
      <c r="D99" s="17" t="s">
        <v>585</v>
      </c>
      <c r="E99" s="20">
        <v>254.16</v>
      </c>
      <c r="F99" s="20">
        <v>254.16</v>
      </c>
      <c r="G99" s="20"/>
      <c r="H99" s="20"/>
      <c r="I99" s="20"/>
      <c r="J99" s="20"/>
      <c r="K99" s="22"/>
      <c r="L99" s="20"/>
      <c r="M99" s="20"/>
      <c r="N99" s="20"/>
      <c r="O99" s="20"/>
      <c r="P99" s="20"/>
      <c r="Q99" s="20">
        <f t="shared" si="3"/>
        <v>508.32</v>
      </c>
    </row>
    <row r="100" spans="1:17" ht="12.75">
      <c r="A100" s="73">
        <f t="shared" si="4"/>
        <v>93</v>
      </c>
      <c r="B100" s="9" t="s">
        <v>163</v>
      </c>
      <c r="C100" s="9">
        <v>21845</v>
      </c>
      <c r="D100" s="17">
        <v>3</v>
      </c>
      <c r="E100" s="22">
        <f>ROUND(0.04*521.42,0)*3.53*3</f>
        <v>222.39</v>
      </c>
      <c r="F100" s="22">
        <f>ROUND(0.04*409.08,0)*3.53*3</f>
        <v>169.44</v>
      </c>
      <c r="G100" s="22">
        <f>ROUND(0.04*366.33,0)*3.53*3</f>
        <v>158.85</v>
      </c>
      <c r="H100" s="22">
        <f>ROUND(0.04*254.17,0)*3.53*3</f>
        <v>105.89999999999999</v>
      </c>
      <c r="I100" s="20"/>
      <c r="J100" s="20"/>
      <c r="K100" s="22"/>
      <c r="L100" s="22"/>
      <c r="M100" s="22"/>
      <c r="N100" s="22"/>
      <c r="O100" s="22"/>
      <c r="P100" s="22"/>
      <c r="Q100" s="20">
        <f t="shared" si="3"/>
        <v>656.5799999999999</v>
      </c>
    </row>
    <row r="101" spans="1:231" s="44" customFormat="1" ht="12.75">
      <c r="A101" s="73">
        <f t="shared" si="4"/>
        <v>94</v>
      </c>
      <c r="B101" s="10" t="s">
        <v>164</v>
      </c>
      <c r="C101" s="10">
        <v>21846</v>
      </c>
      <c r="D101" s="45">
        <v>0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>
        <f t="shared" si="3"/>
        <v>0</v>
      </c>
      <c r="R101" s="34"/>
      <c r="S101" s="34"/>
      <c r="T101" s="34"/>
      <c r="U101" s="34"/>
      <c r="V101" s="34"/>
      <c r="W101" s="34"/>
      <c r="X101" s="34"/>
      <c r="Y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</row>
    <row r="102" spans="1:17" ht="12.75">
      <c r="A102" s="73">
        <f t="shared" si="4"/>
        <v>95</v>
      </c>
      <c r="B102" s="9" t="s">
        <v>165</v>
      </c>
      <c r="C102" s="9">
        <v>21847</v>
      </c>
      <c r="D102" s="17">
        <v>0</v>
      </c>
      <c r="E102" s="20"/>
      <c r="F102" s="20"/>
      <c r="G102" s="20"/>
      <c r="H102" s="20"/>
      <c r="I102" s="20"/>
      <c r="J102" s="20"/>
      <c r="K102" s="22"/>
      <c r="L102" s="20"/>
      <c r="M102" s="20"/>
      <c r="N102" s="20"/>
      <c r="O102" s="20"/>
      <c r="P102" s="20"/>
      <c r="Q102" s="20">
        <f t="shared" si="3"/>
        <v>0</v>
      </c>
    </row>
    <row r="103" spans="1:17" ht="12.75">
      <c r="A103" s="73">
        <f t="shared" si="4"/>
        <v>96</v>
      </c>
      <c r="B103" s="9" t="s">
        <v>166</v>
      </c>
      <c r="C103" s="9">
        <v>21853</v>
      </c>
      <c r="D103" s="17">
        <v>0</v>
      </c>
      <c r="E103" s="20"/>
      <c r="F103" s="20"/>
      <c r="G103" s="20"/>
      <c r="H103" s="20"/>
      <c r="I103" s="20"/>
      <c r="J103" s="20"/>
      <c r="K103" s="22"/>
      <c r="L103" s="20"/>
      <c r="M103" s="20"/>
      <c r="N103" s="20"/>
      <c r="O103" s="20"/>
      <c r="P103" s="20"/>
      <c r="Q103" s="20">
        <f t="shared" si="3"/>
        <v>0</v>
      </c>
    </row>
    <row r="104" spans="1:17" ht="12.75">
      <c r="A104" s="73">
        <f t="shared" si="4"/>
        <v>97</v>
      </c>
      <c r="B104" s="9" t="s">
        <v>167</v>
      </c>
      <c r="C104" s="9">
        <v>21330</v>
      </c>
      <c r="D104" s="17">
        <v>0</v>
      </c>
      <c r="E104" s="20"/>
      <c r="F104" s="20"/>
      <c r="G104" s="20"/>
      <c r="H104" s="20"/>
      <c r="I104" s="20"/>
      <c r="J104" s="20"/>
      <c r="K104" s="22"/>
      <c r="L104" s="20"/>
      <c r="M104" s="20"/>
      <c r="N104" s="20"/>
      <c r="O104" s="20"/>
      <c r="P104" s="20"/>
      <c r="Q104" s="20">
        <f t="shared" si="3"/>
        <v>0</v>
      </c>
    </row>
    <row r="105" spans="1:17" ht="12.75">
      <c r="A105" s="73">
        <f t="shared" si="4"/>
        <v>98</v>
      </c>
      <c r="B105" s="10" t="s">
        <v>168</v>
      </c>
      <c r="C105" s="10">
        <v>12016</v>
      </c>
      <c r="D105" s="45" t="s">
        <v>584</v>
      </c>
      <c r="E105" s="46"/>
      <c r="F105" s="46"/>
      <c r="G105" s="46"/>
      <c r="H105" s="46"/>
      <c r="I105" s="43"/>
      <c r="J105" s="43"/>
      <c r="K105" s="43"/>
      <c r="L105" s="43"/>
      <c r="M105" s="46"/>
      <c r="N105" s="46"/>
      <c r="O105" s="46"/>
      <c r="P105" s="46"/>
      <c r="Q105" s="43">
        <f aca="true" t="shared" si="5" ref="Q105:Q136">E105+F105+G105+H105+I105+J105+K105+L105+M105+N105+O105+P105</f>
        <v>0</v>
      </c>
    </row>
    <row r="106" spans="1:17" ht="12.75">
      <c r="A106" s="73">
        <f t="shared" si="4"/>
        <v>99</v>
      </c>
      <c r="B106" s="9" t="s">
        <v>169</v>
      </c>
      <c r="C106" s="9">
        <v>12015</v>
      </c>
      <c r="D106" s="17">
        <v>6</v>
      </c>
      <c r="E106" s="22">
        <f>ROUND(0.04*521.42,0)*3.53*6</f>
        <v>444.78</v>
      </c>
      <c r="F106" s="22">
        <f>ROUND(0.04*409.08,0)*3.53*6</f>
        <v>338.88</v>
      </c>
      <c r="G106" s="22">
        <f>ROUND(0.04*366.33,0)*3.53*6</f>
        <v>317.7</v>
      </c>
      <c r="H106" s="22">
        <f>ROUND(0.04*254.17,0)*3.53*6</f>
        <v>211.79999999999998</v>
      </c>
      <c r="I106" s="20"/>
      <c r="J106" s="20"/>
      <c r="K106" s="22"/>
      <c r="L106" s="22"/>
      <c r="M106" s="22"/>
      <c r="N106" s="22"/>
      <c r="O106" s="22"/>
      <c r="P106" s="22"/>
      <c r="Q106" s="20">
        <f t="shared" si="5"/>
        <v>1313.1599999999999</v>
      </c>
    </row>
    <row r="107" spans="1:17" ht="12.75">
      <c r="A107" s="73">
        <f t="shared" si="4"/>
        <v>100</v>
      </c>
      <c r="B107" s="61" t="s">
        <v>561</v>
      </c>
      <c r="C107" s="11">
        <v>10005</v>
      </c>
      <c r="D107" s="17" t="s">
        <v>586</v>
      </c>
      <c r="E107" s="20">
        <v>23002.02</v>
      </c>
      <c r="F107" s="20">
        <v>23003.02</v>
      </c>
      <c r="G107" s="20"/>
      <c r="H107" s="20"/>
      <c r="I107" s="20"/>
      <c r="J107" s="20"/>
      <c r="K107" s="22"/>
      <c r="L107" s="20"/>
      <c r="M107" s="20"/>
      <c r="N107" s="20"/>
      <c r="O107" s="20"/>
      <c r="P107" s="20"/>
      <c r="Q107" s="20">
        <f>E107+F107+G107+H107+I107+J107+K107+L107+M107+N107+O107+P107</f>
        <v>46005.04</v>
      </c>
    </row>
    <row r="108" spans="1:17" ht="12.75">
      <c r="A108" s="73">
        <f t="shared" si="4"/>
        <v>101</v>
      </c>
      <c r="B108" s="9" t="s">
        <v>170</v>
      </c>
      <c r="C108" s="9">
        <v>19498</v>
      </c>
      <c r="D108" s="31" t="s">
        <v>588</v>
      </c>
      <c r="E108" s="20">
        <v>9569.43</v>
      </c>
      <c r="F108" s="20">
        <v>7639.41</v>
      </c>
      <c r="G108" s="20"/>
      <c r="H108" s="20"/>
      <c r="I108" s="20"/>
      <c r="J108" s="20"/>
      <c r="K108" s="22"/>
      <c r="L108" s="20"/>
      <c r="M108" s="20"/>
      <c r="N108" s="20"/>
      <c r="O108" s="20"/>
      <c r="P108" s="20"/>
      <c r="Q108" s="20">
        <f t="shared" si="5"/>
        <v>17208.84</v>
      </c>
    </row>
    <row r="109" spans="1:17" ht="12.75">
      <c r="A109" s="73">
        <f t="shared" si="4"/>
        <v>102</v>
      </c>
      <c r="B109" s="51" t="s">
        <v>171</v>
      </c>
      <c r="C109" s="9">
        <v>12501</v>
      </c>
      <c r="D109" s="31" t="s">
        <v>588</v>
      </c>
      <c r="E109" s="20">
        <v>527.41</v>
      </c>
      <c r="F109" s="20">
        <v>5360.5</v>
      </c>
      <c r="G109" s="20"/>
      <c r="H109" s="20"/>
      <c r="I109" s="20"/>
      <c r="J109" s="20"/>
      <c r="K109" s="22"/>
      <c r="L109" s="20"/>
      <c r="M109" s="20"/>
      <c r="N109" s="20"/>
      <c r="O109" s="20"/>
      <c r="P109" s="20"/>
      <c r="Q109" s="20">
        <f t="shared" si="5"/>
        <v>5887.91</v>
      </c>
    </row>
    <row r="110" spans="1:17" ht="12.75">
      <c r="A110" s="73">
        <f t="shared" si="4"/>
        <v>103</v>
      </c>
      <c r="B110" s="51" t="s">
        <v>172</v>
      </c>
      <c r="C110" s="9">
        <v>12502</v>
      </c>
      <c r="D110" s="31" t="s">
        <v>588</v>
      </c>
      <c r="E110" s="20">
        <v>3027.17</v>
      </c>
      <c r="F110" s="20">
        <v>2850.65</v>
      </c>
      <c r="G110" s="20"/>
      <c r="H110" s="20"/>
      <c r="I110" s="20"/>
      <c r="J110" s="20"/>
      <c r="K110" s="22"/>
      <c r="L110" s="20"/>
      <c r="M110" s="20"/>
      <c r="N110" s="20"/>
      <c r="O110" s="20"/>
      <c r="P110" s="20"/>
      <c r="Q110" s="20">
        <f t="shared" si="5"/>
        <v>5877.82</v>
      </c>
    </row>
    <row r="111" spans="1:17" ht="12.75">
      <c r="A111" s="73">
        <f t="shared" si="4"/>
        <v>104</v>
      </c>
      <c r="B111" s="51" t="s">
        <v>173</v>
      </c>
      <c r="C111" s="9">
        <v>12503</v>
      </c>
      <c r="D111" s="31" t="s">
        <v>588</v>
      </c>
      <c r="E111" s="20">
        <v>3600.05</v>
      </c>
      <c r="F111" s="20">
        <v>3351.2</v>
      </c>
      <c r="G111" s="20"/>
      <c r="H111" s="20"/>
      <c r="I111" s="20"/>
      <c r="J111" s="20"/>
      <c r="K111" s="22"/>
      <c r="L111" s="20"/>
      <c r="M111" s="20"/>
      <c r="N111" s="20"/>
      <c r="O111" s="20"/>
      <c r="P111" s="20"/>
      <c r="Q111" s="20">
        <f t="shared" si="5"/>
        <v>6951.25</v>
      </c>
    </row>
    <row r="112" spans="1:17" ht="12.75">
      <c r="A112" s="73">
        <f t="shared" si="4"/>
        <v>105</v>
      </c>
      <c r="B112" s="51" t="s">
        <v>174</v>
      </c>
      <c r="C112" s="9">
        <v>12504</v>
      </c>
      <c r="D112" s="31" t="s">
        <v>588</v>
      </c>
      <c r="E112" s="20">
        <v>3455.76</v>
      </c>
      <c r="F112" s="20">
        <v>3212.75</v>
      </c>
      <c r="G112" s="20"/>
      <c r="H112" s="20"/>
      <c r="I112" s="20"/>
      <c r="J112" s="20"/>
      <c r="K112" s="22"/>
      <c r="L112" s="20"/>
      <c r="M112" s="20"/>
      <c r="N112" s="20"/>
      <c r="O112" s="20"/>
      <c r="P112" s="20"/>
      <c r="Q112" s="20">
        <f t="shared" si="5"/>
        <v>6668.51</v>
      </c>
    </row>
    <row r="113" spans="1:17" ht="12.75">
      <c r="A113" s="73">
        <f t="shared" si="4"/>
        <v>106</v>
      </c>
      <c r="B113" s="95" t="s">
        <v>175</v>
      </c>
      <c r="C113" s="10">
        <v>12011</v>
      </c>
      <c r="D113" s="45">
        <v>0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>
        <f t="shared" si="5"/>
        <v>0</v>
      </c>
    </row>
    <row r="114" spans="1:17" ht="12.75">
      <c r="A114" s="73">
        <f t="shared" si="4"/>
        <v>107</v>
      </c>
      <c r="B114" s="95" t="s">
        <v>176</v>
      </c>
      <c r="C114" s="10">
        <v>21442</v>
      </c>
      <c r="D114" s="45">
        <v>0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>
        <f t="shared" si="5"/>
        <v>0</v>
      </c>
    </row>
    <row r="115" spans="1:17" ht="12.75">
      <c r="A115" s="73">
        <f t="shared" si="4"/>
        <v>108</v>
      </c>
      <c r="B115" s="51" t="s">
        <v>177</v>
      </c>
      <c r="C115" s="9">
        <v>12019</v>
      </c>
      <c r="D115" s="17" t="s">
        <v>584</v>
      </c>
      <c r="E115" s="21"/>
      <c r="F115" s="20"/>
      <c r="G115" s="22">
        <f>ROUND(0.04*366.33,0)*3.53*3</f>
        <v>158.85</v>
      </c>
      <c r="H115" s="22">
        <f>ROUND(0.04*254.17,0)*3.53*3</f>
        <v>105.89999999999999</v>
      </c>
      <c r="I115" s="20"/>
      <c r="J115" s="20"/>
      <c r="K115" s="22"/>
      <c r="L115" s="20"/>
      <c r="M115" s="21"/>
      <c r="N115" s="21"/>
      <c r="O115" s="21"/>
      <c r="P115" s="21"/>
      <c r="Q115" s="20">
        <f t="shared" si="5"/>
        <v>264.75</v>
      </c>
    </row>
    <row r="116" spans="1:17" ht="12.75">
      <c r="A116" s="73">
        <f t="shared" si="4"/>
        <v>109</v>
      </c>
      <c r="B116" s="10" t="s">
        <v>178</v>
      </c>
      <c r="C116" s="10">
        <v>12020</v>
      </c>
      <c r="D116" s="45">
        <v>3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>
        <f t="shared" si="5"/>
        <v>0</v>
      </c>
    </row>
    <row r="117" spans="1:17" ht="12.75">
      <c r="A117" s="73">
        <f t="shared" si="4"/>
        <v>110</v>
      </c>
      <c r="B117" s="9" t="s">
        <v>179</v>
      </c>
      <c r="C117" s="9">
        <v>12021</v>
      </c>
      <c r="D117" s="17">
        <v>3</v>
      </c>
      <c r="E117" s="22">
        <f>ROUND(0.04*521.42,0)*3.53*3</f>
        <v>222.39</v>
      </c>
      <c r="F117" s="22">
        <f>ROUND(0.04*409.08,0)*3.53*3</f>
        <v>169.44</v>
      </c>
      <c r="G117" s="22">
        <f>ROUND(0.04*366.33,0)*3.53*3</f>
        <v>158.85</v>
      </c>
      <c r="H117" s="22">
        <f>ROUND(0.04*254.17,0)*3.53*3</f>
        <v>105.89999999999999</v>
      </c>
      <c r="I117" s="20"/>
      <c r="J117" s="20"/>
      <c r="K117" s="22"/>
      <c r="L117" s="22"/>
      <c r="M117" s="22"/>
      <c r="N117" s="22"/>
      <c r="O117" s="22"/>
      <c r="P117" s="22"/>
      <c r="Q117" s="20">
        <f t="shared" si="5"/>
        <v>656.5799999999999</v>
      </c>
    </row>
    <row r="118" spans="1:17" ht="12.75">
      <c r="A118" s="73">
        <f t="shared" si="4"/>
        <v>111</v>
      </c>
      <c r="B118" s="9" t="s">
        <v>180</v>
      </c>
      <c r="C118" s="9">
        <v>21450</v>
      </c>
      <c r="D118" s="17">
        <v>2</v>
      </c>
      <c r="E118" s="22">
        <f>ROUND(0.04*521.42,0)*3.53*2</f>
        <v>148.26</v>
      </c>
      <c r="F118" s="22">
        <f>ROUND(0.04*409.08,0)*3.53*2</f>
        <v>112.96</v>
      </c>
      <c r="G118" s="22">
        <f>ROUND(0.04*366.33,0)*3.53*2</f>
        <v>105.89999999999999</v>
      </c>
      <c r="H118" s="22">
        <f>ROUND(0.04*254.17,0)*3.53*2</f>
        <v>70.6</v>
      </c>
      <c r="I118" s="22"/>
      <c r="J118" s="20"/>
      <c r="K118" s="22"/>
      <c r="L118" s="22"/>
      <c r="M118" s="22"/>
      <c r="N118" s="22"/>
      <c r="O118" s="22"/>
      <c r="P118" s="22"/>
      <c r="Q118" s="20">
        <f t="shared" si="5"/>
        <v>437.7199999999999</v>
      </c>
    </row>
    <row r="119" spans="1:17" ht="12.75">
      <c r="A119" s="73">
        <f t="shared" si="4"/>
        <v>112</v>
      </c>
      <c r="B119" s="9" t="s">
        <v>181</v>
      </c>
      <c r="C119" s="9">
        <v>22173</v>
      </c>
      <c r="D119" s="17">
        <v>4</v>
      </c>
      <c r="E119" s="22">
        <f>ROUND(0.04*521.42,0)*3.53*4</f>
        <v>296.52</v>
      </c>
      <c r="F119" s="22">
        <f>ROUND(0.04*409.08,0)*3.53*4</f>
        <v>225.92</v>
      </c>
      <c r="G119" s="22">
        <f>ROUND(0.04*366.33,0)*3.53*4</f>
        <v>211.79999999999998</v>
      </c>
      <c r="H119" s="22">
        <f>ROUND(0.04*254.17,0)*3.53*4</f>
        <v>141.2</v>
      </c>
      <c r="I119" s="20"/>
      <c r="J119" s="20"/>
      <c r="K119" s="22"/>
      <c r="L119" s="22"/>
      <c r="M119" s="22"/>
      <c r="N119" s="22"/>
      <c r="O119" s="22"/>
      <c r="P119" s="22"/>
      <c r="Q119" s="20">
        <f t="shared" si="5"/>
        <v>875.4399999999998</v>
      </c>
    </row>
    <row r="120" spans="1:17" ht="12.75">
      <c r="A120" s="73">
        <f t="shared" si="4"/>
        <v>113</v>
      </c>
      <c r="B120" s="9" t="s">
        <v>182</v>
      </c>
      <c r="C120" s="9">
        <v>22169</v>
      </c>
      <c r="D120" s="17">
        <v>4</v>
      </c>
      <c r="E120" s="22">
        <f>ROUND(0.04*521.42,0)*3.53*4</f>
        <v>296.52</v>
      </c>
      <c r="F120" s="22">
        <f>ROUND(0.04*409.08,0)*3.53*4</f>
        <v>225.92</v>
      </c>
      <c r="G120" s="22">
        <f>ROUND(0.04*366.33,0)*3.53*4</f>
        <v>211.79999999999998</v>
      </c>
      <c r="H120" s="22">
        <f>ROUND(0.04*254.17,0)*3.53*4</f>
        <v>141.2</v>
      </c>
      <c r="I120" s="20"/>
      <c r="J120" s="20"/>
      <c r="K120" s="22"/>
      <c r="L120" s="22"/>
      <c r="M120" s="22"/>
      <c r="N120" s="22"/>
      <c r="O120" s="22"/>
      <c r="P120" s="22"/>
      <c r="Q120" s="20">
        <f t="shared" si="5"/>
        <v>875.4399999999998</v>
      </c>
    </row>
    <row r="121" spans="1:17" ht="12.75">
      <c r="A121" s="73">
        <f t="shared" si="4"/>
        <v>114</v>
      </c>
      <c r="B121" s="9" t="s">
        <v>183</v>
      </c>
      <c r="C121" s="9">
        <v>22159</v>
      </c>
      <c r="D121" s="17" t="s">
        <v>584</v>
      </c>
      <c r="E121" s="21"/>
      <c r="F121" s="20"/>
      <c r="G121" s="20"/>
      <c r="H121" s="20"/>
      <c r="I121" s="20"/>
      <c r="J121" s="20"/>
      <c r="K121" s="22"/>
      <c r="L121" s="20"/>
      <c r="M121" s="21"/>
      <c r="N121" s="21"/>
      <c r="O121" s="21"/>
      <c r="P121" s="21"/>
      <c r="Q121" s="20">
        <f t="shared" si="5"/>
        <v>0</v>
      </c>
    </row>
    <row r="122" spans="1:17" ht="12.75">
      <c r="A122" s="73">
        <f t="shared" si="4"/>
        <v>115</v>
      </c>
      <c r="B122" s="9" t="s">
        <v>184</v>
      </c>
      <c r="C122" s="9">
        <v>21519</v>
      </c>
      <c r="D122" s="17" t="s">
        <v>711</v>
      </c>
      <c r="E122" s="20">
        <v>1599.25</v>
      </c>
      <c r="F122" s="20">
        <v>1642.63</v>
      </c>
      <c r="G122" s="20"/>
      <c r="H122" s="20"/>
      <c r="I122" s="20"/>
      <c r="J122" s="20"/>
      <c r="K122" s="22"/>
      <c r="L122" s="20"/>
      <c r="M122" s="20"/>
      <c r="N122" s="20"/>
      <c r="O122" s="20"/>
      <c r="P122" s="20"/>
      <c r="Q122" s="20">
        <f t="shared" si="5"/>
        <v>3241.88</v>
      </c>
    </row>
    <row r="123" spans="1:17" ht="12.75">
      <c r="A123" s="73">
        <f t="shared" si="4"/>
        <v>116</v>
      </c>
      <c r="B123" s="9" t="s">
        <v>185</v>
      </c>
      <c r="C123" s="9">
        <v>21520</v>
      </c>
      <c r="D123" s="17" t="s">
        <v>712</v>
      </c>
      <c r="E123" s="20">
        <v>689.65</v>
      </c>
      <c r="F123" s="20">
        <v>625.07</v>
      </c>
      <c r="G123" s="20"/>
      <c r="H123" s="20"/>
      <c r="I123" s="20"/>
      <c r="J123" s="20"/>
      <c r="K123" s="22"/>
      <c r="L123" s="20"/>
      <c r="M123" s="20"/>
      <c r="N123" s="20"/>
      <c r="O123" s="20"/>
      <c r="P123" s="20"/>
      <c r="Q123" s="20">
        <f t="shared" si="5"/>
        <v>1314.72</v>
      </c>
    </row>
    <row r="124" spans="1:17" ht="12.75">
      <c r="A124" s="73">
        <f t="shared" si="4"/>
        <v>117</v>
      </c>
      <c r="B124" s="9" t="s">
        <v>186</v>
      </c>
      <c r="C124" s="9">
        <v>21521</v>
      </c>
      <c r="D124" s="17" t="s">
        <v>712</v>
      </c>
      <c r="E124" s="20">
        <v>760.7</v>
      </c>
      <c r="F124" s="20">
        <v>720.24</v>
      </c>
      <c r="G124" s="20"/>
      <c r="H124" s="20"/>
      <c r="I124" s="20"/>
      <c r="J124" s="20"/>
      <c r="K124" s="22"/>
      <c r="L124" s="20"/>
      <c r="M124" s="20"/>
      <c r="N124" s="20"/>
      <c r="O124" s="20"/>
      <c r="P124" s="20"/>
      <c r="Q124" s="20">
        <f t="shared" si="5"/>
        <v>1480.94</v>
      </c>
    </row>
    <row r="125" spans="1:231" s="44" customFormat="1" ht="12.75">
      <c r="A125" s="73">
        <f t="shared" si="4"/>
        <v>118</v>
      </c>
      <c r="B125" s="9" t="s">
        <v>187</v>
      </c>
      <c r="C125" s="9">
        <v>21522</v>
      </c>
      <c r="D125" s="17" t="s">
        <v>712</v>
      </c>
      <c r="E125" s="20">
        <v>811.13</v>
      </c>
      <c r="F125" s="20">
        <v>767.17</v>
      </c>
      <c r="G125" s="20"/>
      <c r="H125" s="20"/>
      <c r="I125" s="20"/>
      <c r="J125" s="20"/>
      <c r="K125" s="22"/>
      <c r="L125" s="20"/>
      <c r="M125" s="20"/>
      <c r="N125" s="20"/>
      <c r="O125" s="20"/>
      <c r="P125" s="20"/>
      <c r="Q125" s="20">
        <f t="shared" si="5"/>
        <v>1578.3</v>
      </c>
      <c r="R125" s="34"/>
      <c r="S125" s="34"/>
      <c r="T125" s="34"/>
      <c r="U125" s="34"/>
      <c r="V125" s="34"/>
      <c r="W125" s="34"/>
      <c r="X125" s="34"/>
      <c r="Y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</row>
    <row r="126" spans="1:17" ht="12.75">
      <c r="A126" s="73">
        <f t="shared" si="4"/>
        <v>119</v>
      </c>
      <c r="B126" s="52" t="s">
        <v>620</v>
      </c>
      <c r="C126" s="9"/>
      <c r="D126" s="17">
        <v>15</v>
      </c>
      <c r="E126" s="22">
        <f>ROUND(0.04*521.42,0)*3.53*15</f>
        <v>1111.9499999999998</v>
      </c>
      <c r="F126" s="20">
        <v>17282.88</v>
      </c>
      <c r="G126" s="20"/>
      <c r="H126" s="20"/>
      <c r="I126" s="20"/>
      <c r="J126" s="20"/>
      <c r="K126" s="22"/>
      <c r="L126" s="22"/>
      <c r="M126" s="22"/>
      <c r="N126" s="22"/>
      <c r="O126" s="22"/>
      <c r="P126" s="22"/>
      <c r="Q126" s="20">
        <f t="shared" si="5"/>
        <v>18394.83</v>
      </c>
    </row>
    <row r="127" spans="1:17" ht="12.75">
      <c r="A127" s="73">
        <f t="shared" si="4"/>
        <v>120</v>
      </c>
      <c r="B127" s="52" t="s">
        <v>621</v>
      </c>
      <c r="C127" s="9"/>
      <c r="D127" s="17">
        <v>10</v>
      </c>
      <c r="E127" s="22">
        <f>ROUND(0.04*521.42,0)*3.53*10</f>
        <v>741.3</v>
      </c>
      <c r="F127" s="20">
        <v>8189.6</v>
      </c>
      <c r="G127" s="20"/>
      <c r="H127" s="20"/>
      <c r="I127" s="20"/>
      <c r="J127" s="20"/>
      <c r="K127" s="22"/>
      <c r="L127" s="22"/>
      <c r="M127" s="22"/>
      <c r="N127" s="22"/>
      <c r="O127" s="22"/>
      <c r="P127" s="22"/>
      <c r="Q127" s="20">
        <f t="shared" si="5"/>
        <v>8930.9</v>
      </c>
    </row>
    <row r="128" spans="1:17" ht="12.75">
      <c r="A128" s="73">
        <f t="shared" si="4"/>
        <v>121</v>
      </c>
      <c r="B128" s="52" t="s">
        <v>622</v>
      </c>
      <c r="C128" s="9"/>
      <c r="D128" s="17">
        <v>15</v>
      </c>
      <c r="E128" s="22">
        <f>ROUND(0.04*521.42,0)*3.53*15</f>
        <v>1111.9499999999998</v>
      </c>
      <c r="F128" s="20">
        <v>24116.96</v>
      </c>
      <c r="G128" s="20"/>
      <c r="H128" s="20"/>
      <c r="I128" s="20"/>
      <c r="J128" s="20"/>
      <c r="K128" s="22"/>
      <c r="L128" s="22"/>
      <c r="M128" s="22"/>
      <c r="N128" s="22"/>
      <c r="O128" s="22"/>
      <c r="P128" s="22"/>
      <c r="Q128" s="20">
        <f t="shared" si="5"/>
        <v>25228.91</v>
      </c>
    </row>
    <row r="129" spans="1:17" ht="12.75">
      <c r="A129" s="73">
        <f t="shared" si="4"/>
        <v>122</v>
      </c>
      <c r="B129" s="52" t="s">
        <v>623</v>
      </c>
      <c r="C129" s="9"/>
      <c r="D129" s="17">
        <v>12</v>
      </c>
      <c r="E129" s="22">
        <f>ROUND(0.04*521.42,0)*3.53*11</f>
        <v>815.43</v>
      </c>
      <c r="F129" s="20">
        <v>30103.84</v>
      </c>
      <c r="G129" s="20"/>
      <c r="H129" s="20"/>
      <c r="I129" s="20"/>
      <c r="J129" s="20"/>
      <c r="K129" s="22"/>
      <c r="L129" s="22"/>
      <c r="M129" s="22"/>
      <c r="N129" s="22"/>
      <c r="O129" s="22"/>
      <c r="P129" s="22"/>
      <c r="Q129" s="20">
        <f t="shared" si="5"/>
        <v>30919.27</v>
      </c>
    </row>
    <row r="130" spans="1:231" s="44" customFormat="1" ht="12.75">
      <c r="A130" s="73">
        <f t="shared" si="4"/>
        <v>123</v>
      </c>
      <c r="B130" s="52" t="s">
        <v>624</v>
      </c>
      <c r="C130" s="9"/>
      <c r="D130" s="17">
        <v>12</v>
      </c>
      <c r="E130" s="22">
        <f>ROUND(0.04*521.42,0)*3.53*11</f>
        <v>815.43</v>
      </c>
      <c r="F130" s="20">
        <v>29539.04</v>
      </c>
      <c r="G130" s="20"/>
      <c r="H130" s="20"/>
      <c r="I130" s="20"/>
      <c r="J130" s="20"/>
      <c r="K130" s="22"/>
      <c r="L130" s="22"/>
      <c r="M130" s="22"/>
      <c r="N130" s="22"/>
      <c r="O130" s="22"/>
      <c r="P130" s="22"/>
      <c r="Q130" s="20">
        <f t="shared" si="5"/>
        <v>30354.47</v>
      </c>
      <c r="R130" s="34"/>
      <c r="S130" s="34"/>
      <c r="T130" s="34"/>
      <c r="U130" s="34"/>
      <c r="V130" s="34"/>
      <c r="W130" s="34"/>
      <c r="X130" s="34"/>
      <c r="Y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</row>
    <row r="131" spans="1:17" ht="12.75">
      <c r="A131" s="73">
        <f t="shared" si="4"/>
        <v>124</v>
      </c>
      <c r="B131" s="52" t="s">
        <v>625</v>
      </c>
      <c r="C131" s="9"/>
      <c r="D131" s="17">
        <v>6</v>
      </c>
      <c r="E131" s="22">
        <f>ROUND(0.04*521.42,0)*3.53*6</f>
        <v>444.78</v>
      </c>
      <c r="F131" s="20">
        <v>12764.48</v>
      </c>
      <c r="G131" s="20"/>
      <c r="H131" s="20"/>
      <c r="I131" s="20"/>
      <c r="J131" s="20"/>
      <c r="K131" s="22"/>
      <c r="L131" s="22"/>
      <c r="M131" s="22"/>
      <c r="N131" s="22"/>
      <c r="O131" s="22"/>
      <c r="P131" s="22"/>
      <c r="Q131" s="20">
        <f t="shared" si="5"/>
        <v>13209.26</v>
      </c>
    </row>
    <row r="132" spans="1:17" ht="12.75">
      <c r="A132" s="73">
        <f t="shared" si="4"/>
        <v>125</v>
      </c>
      <c r="B132" s="52" t="s">
        <v>626</v>
      </c>
      <c r="C132" s="9"/>
      <c r="D132" s="17">
        <v>6</v>
      </c>
      <c r="E132" s="22">
        <f>ROUND(0.04*521.42,0)*3.53*6</f>
        <v>444.78</v>
      </c>
      <c r="F132" s="20">
        <v>12764.48</v>
      </c>
      <c r="G132" s="20"/>
      <c r="H132" s="20"/>
      <c r="I132" s="20"/>
      <c r="J132" s="20"/>
      <c r="K132" s="22"/>
      <c r="L132" s="22"/>
      <c r="M132" s="22"/>
      <c r="N132" s="22"/>
      <c r="O132" s="22"/>
      <c r="P132" s="22"/>
      <c r="Q132" s="20">
        <f t="shared" si="5"/>
        <v>13209.26</v>
      </c>
    </row>
    <row r="133" spans="1:231" s="44" customFormat="1" ht="12.75">
      <c r="A133" s="73">
        <f t="shared" si="4"/>
        <v>126</v>
      </c>
      <c r="B133" s="52" t="s">
        <v>627</v>
      </c>
      <c r="C133" s="9"/>
      <c r="D133" s="17">
        <v>15</v>
      </c>
      <c r="E133" s="22">
        <f>ROUND(0.04*521.42,0)*3.53*15</f>
        <v>1111.9499999999998</v>
      </c>
      <c r="F133" s="20">
        <v>17791.2</v>
      </c>
      <c r="G133" s="20"/>
      <c r="H133" s="20"/>
      <c r="I133" s="20"/>
      <c r="J133" s="20"/>
      <c r="K133" s="22"/>
      <c r="L133" s="22"/>
      <c r="M133" s="22"/>
      <c r="N133" s="22"/>
      <c r="O133" s="22"/>
      <c r="P133" s="22"/>
      <c r="Q133" s="20">
        <f t="shared" si="5"/>
        <v>18903.15</v>
      </c>
      <c r="R133" s="34"/>
      <c r="S133" s="34"/>
      <c r="T133" s="34"/>
      <c r="U133" s="34"/>
      <c r="V133" s="34"/>
      <c r="W133" s="34"/>
      <c r="X133" s="34"/>
      <c r="Y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</row>
    <row r="134" spans="1:17" ht="12.75">
      <c r="A134" s="73">
        <f t="shared" si="4"/>
        <v>127</v>
      </c>
      <c r="B134" s="9" t="s">
        <v>188</v>
      </c>
      <c r="C134" s="9">
        <v>21523</v>
      </c>
      <c r="D134" s="17">
        <v>3</v>
      </c>
      <c r="E134" s="22">
        <f>ROUND(0.04*521.42,0)*3.53*3</f>
        <v>222.39</v>
      </c>
      <c r="F134" s="22">
        <f>ROUND(0.04*409.08,0)*3.53*3</f>
        <v>169.44</v>
      </c>
      <c r="G134" s="22">
        <f>ROUND(0.04*366.33,0)*3.53*3</f>
        <v>158.85</v>
      </c>
      <c r="H134" s="22">
        <f>ROUND(0.04*254.17,0)*3.53*3</f>
        <v>105.89999999999999</v>
      </c>
      <c r="I134" s="20"/>
      <c r="J134" s="20"/>
      <c r="K134" s="22"/>
      <c r="L134" s="22"/>
      <c r="M134" s="22"/>
      <c r="N134" s="22"/>
      <c r="O134" s="22"/>
      <c r="P134" s="22"/>
      <c r="Q134" s="20">
        <f t="shared" si="5"/>
        <v>656.5799999999999</v>
      </c>
    </row>
    <row r="135" spans="1:231" s="44" customFormat="1" ht="12.75">
      <c r="A135" s="73">
        <f t="shared" si="4"/>
        <v>128</v>
      </c>
      <c r="B135" s="9" t="s">
        <v>189</v>
      </c>
      <c r="C135" s="9">
        <v>21524</v>
      </c>
      <c r="D135" s="17">
        <v>3</v>
      </c>
      <c r="E135" s="22">
        <f>ROUND(0.04*521.42,0)*3.53*3</f>
        <v>222.39</v>
      </c>
      <c r="F135" s="22">
        <f>ROUND(0.04*409.08,0)*3.53*3</f>
        <v>169.44</v>
      </c>
      <c r="G135" s="22">
        <f>ROUND(0.04*366.33,0)*3.53*3</f>
        <v>158.85</v>
      </c>
      <c r="H135" s="22">
        <f>ROUND(0.04*254.17,0)*3.53*3</f>
        <v>105.89999999999999</v>
      </c>
      <c r="I135" s="20"/>
      <c r="J135" s="20"/>
      <c r="K135" s="22"/>
      <c r="L135" s="22"/>
      <c r="M135" s="22"/>
      <c r="N135" s="22"/>
      <c r="O135" s="22"/>
      <c r="P135" s="22"/>
      <c r="Q135" s="20">
        <f t="shared" si="5"/>
        <v>656.5799999999999</v>
      </c>
      <c r="R135" s="34"/>
      <c r="S135" s="34"/>
      <c r="T135" s="34"/>
      <c r="U135" s="34"/>
      <c r="V135" s="34"/>
      <c r="W135" s="34"/>
      <c r="X135" s="34"/>
      <c r="Y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</row>
    <row r="136" spans="1:17" ht="12.75">
      <c r="A136" s="73">
        <f t="shared" si="4"/>
        <v>129</v>
      </c>
      <c r="B136" s="9" t="s">
        <v>190</v>
      </c>
      <c r="C136" s="9">
        <v>21525</v>
      </c>
      <c r="D136" s="17">
        <v>3</v>
      </c>
      <c r="E136" s="22">
        <f>ROUND(0.04*521.42,0)*3.53*3</f>
        <v>222.39</v>
      </c>
      <c r="F136" s="22">
        <f>ROUND(0.04*409.08,0)*3.53*3</f>
        <v>169.44</v>
      </c>
      <c r="G136" s="22">
        <f>ROUND(0.04*366.33,0)*3.53*3</f>
        <v>158.85</v>
      </c>
      <c r="H136" s="22">
        <f>ROUND(0.04*254.17,0)*3.53*3</f>
        <v>105.89999999999999</v>
      </c>
      <c r="I136" s="20"/>
      <c r="J136" s="20"/>
      <c r="K136" s="22"/>
      <c r="L136" s="22"/>
      <c r="M136" s="22"/>
      <c r="N136" s="22"/>
      <c r="O136" s="22"/>
      <c r="P136" s="22"/>
      <c r="Q136" s="20">
        <f t="shared" si="5"/>
        <v>656.5799999999999</v>
      </c>
    </row>
    <row r="137" spans="1:17" ht="12.75">
      <c r="A137" s="73">
        <f t="shared" si="4"/>
        <v>130</v>
      </c>
      <c r="B137" s="9" t="s">
        <v>191</v>
      </c>
      <c r="C137" s="9">
        <v>21526</v>
      </c>
      <c r="D137" s="17">
        <v>3</v>
      </c>
      <c r="E137" s="22">
        <f>ROUND(0.04*521.42,0)*3.53*3</f>
        <v>222.39</v>
      </c>
      <c r="F137" s="22">
        <f>ROUND(0.04*409.08,0)*3.53*3</f>
        <v>169.44</v>
      </c>
      <c r="G137" s="22">
        <f>ROUND(0.04*366.33,0)*3.53*3</f>
        <v>158.85</v>
      </c>
      <c r="H137" s="22">
        <f>ROUND(0.04*254.17,0)*3.53*3</f>
        <v>105.89999999999999</v>
      </c>
      <c r="I137" s="20"/>
      <c r="J137" s="20"/>
      <c r="K137" s="22"/>
      <c r="L137" s="22"/>
      <c r="M137" s="22"/>
      <c r="N137" s="22"/>
      <c r="O137" s="22"/>
      <c r="P137" s="22"/>
      <c r="Q137" s="20">
        <f aca="true" t="shared" si="6" ref="Q137:Q168">E137+F137+G137+H137+I137+J137+K137+L137+M137+N137+O137+P137</f>
        <v>656.5799999999999</v>
      </c>
    </row>
    <row r="138" spans="1:17" ht="12.75">
      <c r="A138" s="73">
        <f aca="true" t="shared" si="7" ref="A138:A202">A137+1</f>
        <v>131</v>
      </c>
      <c r="B138" s="9" t="s">
        <v>192</v>
      </c>
      <c r="C138" s="9">
        <v>12033</v>
      </c>
      <c r="D138" s="17">
        <v>0</v>
      </c>
      <c r="E138" s="20"/>
      <c r="F138" s="20"/>
      <c r="G138" s="20"/>
      <c r="H138" s="20"/>
      <c r="I138" s="20"/>
      <c r="J138" s="20"/>
      <c r="K138" s="22"/>
      <c r="L138" s="20"/>
      <c r="M138" s="20"/>
      <c r="N138" s="20"/>
      <c r="O138" s="20"/>
      <c r="P138" s="20"/>
      <c r="Q138" s="20">
        <f t="shared" si="6"/>
        <v>0</v>
      </c>
    </row>
    <row r="139" spans="1:17" ht="12.75">
      <c r="A139" s="73">
        <f t="shared" si="7"/>
        <v>132</v>
      </c>
      <c r="B139" s="9" t="s">
        <v>193</v>
      </c>
      <c r="C139" s="9">
        <v>12450</v>
      </c>
      <c r="D139" s="31" t="s">
        <v>588</v>
      </c>
      <c r="E139" s="20">
        <v>5804.86</v>
      </c>
      <c r="F139" s="20">
        <v>8282.15</v>
      </c>
      <c r="G139" s="20"/>
      <c r="H139" s="20"/>
      <c r="I139" s="20"/>
      <c r="J139" s="20"/>
      <c r="K139" s="22"/>
      <c r="L139" s="20"/>
      <c r="M139" s="20"/>
      <c r="N139" s="20"/>
      <c r="O139" s="20"/>
      <c r="P139" s="20"/>
      <c r="Q139" s="20">
        <f t="shared" si="6"/>
        <v>14087.009999999998</v>
      </c>
    </row>
    <row r="140" spans="1:17" ht="12.75">
      <c r="A140" s="73">
        <f t="shared" si="7"/>
        <v>133</v>
      </c>
      <c r="B140" s="9" t="s">
        <v>194</v>
      </c>
      <c r="C140" s="9">
        <v>12608</v>
      </c>
      <c r="D140" s="31" t="s">
        <v>588</v>
      </c>
      <c r="E140" s="20">
        <v>4440.89</v>
      </c>
      <c r="F140" s="20">
        <v>5254</v>
      </c>
      <c r="G140" s="20"/>
      <c r="H140" s="20"/>
      <c r="I140" s="20"/>
      <c r="J140" s="20"/>
      <c r="K140" s="22"/>
      <c r="L140" s="20"/>
      <c r="M140" s="20"/>
      <c r="N140" s="20"/>
      <c r="O140" s="20"/>
      <c r="P140" s="20"/>
      <c r="Q140" s="20">
        <f t="shared" si="6"/>
        <v>9694.89</v>
      </c>
    </row>
    <row r="141" spans="1:17" ht="12.75">
      <c r="A141" s="73">
        <f t="shared" si="7"/>
        <v>134</v>
      </c>
      <c r="B141" s="9" t="s">
        <v>195</v>
      </c>
      <c r="C141" s="9">
        <v>12609</v>
      </c>
      <c r="D141" s="31" t="s">
        <v>588</v>
      </c>
      <c r="E141" s="20">
        <v>2081.14</v>
      </c>
      <c r="F141" s="20">
        <v>2492.1</v>
      </c>
      <c r="G141" s="20"/>
      <c r="H141" s="20"/>
      <c r="I141" s="20"/>
      <c r="J141" s="20"/>
      <c r="K141" s="22"/>
      <c r="L141" s="20"/>
      <c r="M141" s="20"/>
      <c r="N141" s="20"/>
      <c r="O141" s="20"/>
      <c r="P141" s="20"/>
      <c r="Q141" s="20">
        <f t="shared" si="6"/>
        <v>4573.24</v>
      </c>
    </row>
    <row r="142" spans="1:231" s="44" customFormat="1" ht="12.75">
      <c r="A142" s="73">
        <f t="shared" si="7"/>
        <v>135</v>
      </c>
      <c r="B142" s="9" t="s">
        <v>196</v>
      </c>
      <c r="C142" s="9">
        <v>12610</v>
      </c>
      <c r="D142" s="31" t="s">
        <v>588</v>
      </c>
      <c r="E142" s="20">
        <v>2836.68</v>
      </c>
      <c r="F142" s="20">
        <v>3745.25</v>
      </c>
      <c r="G142" s="20"/>
      <c r="H142" s="20"/>
      <c r="I142" s="20"/>
      <c r="J142" s="20"/>
      <c r="K142" s="22"/>
      <c r="L142" s="20"/>
      <c r="M142" s="20"/>
      <c r="N142" s="20"/>
      <c r="O142" s="20"/>
      <c r="P142" s="20"/>
      <c r="Q142" s="20">
        <f t="shared" si="6"/>
        <v>6581.93</v>
      </c>
      <c r="R142" s="34"/>
      <c r="S142" s="34"/>
      <c r="T142" s="34"/>
      <c r="U142" s="34"/>
      <c r="V142" s="34"/>
      <c r="W142" s="34"/>
      <c r="X142" s="34"/>
      <c r="Y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</row>
    <row r="143" spans="1:17" ht="12.75">
      <c r="A143" s="73">
        <f t="shared" si="7"/>
        <v>136</v>
      </c>
      <c r="B143" s="9" t="s">
        <v>197</v>
      </c>
      <c r="C143" s="9">
        <v>12751</v>
      </c>
      <c r="D143" s="31" t="s">
        <v>588</v>
      </c>
      <c r="E143" s="20">
        <v>681.62</v>
      </c>
      <c r="F143" s="20">
        <v>972.7</v>
      </c>
      <c r="G143" s="20"/>
      <c r="H143" s="20"/>
      <c r="I143" s="20"/>
      <c r="J143" s="20"/>
      <c r="K143" s="22"/>
      <c r="L143" s="20"/>
      <c r="M143" s="20"/>
      <c r="N143" s="20"/>
      <c r="O143" s="20"/>
      <c r="P143" s="20"/>
      <c r="Q143" s="20">
        <f t="shared" si="6"/>
        <v>1654.3200000000002</v>
      </c>
    </row>
    <row r="144" spans="1:17" ht="12.75">
      <c r="A144" s="73">
        <f t="shared" si="7"/>
        <v>137</v>
      </c>
      <c r="B144" s="9" t="s">
        <v>198</v>
      </c>
      <c r="C144" s="9">
        <v>21176</v>
      </c>
      <c r="D144" s="17">
        <v>2</v>
      </c>
      <c r="E144" s="22">
        <f>ROUND(0.04*521.42,0)*3.53*2</f>
        <v>148.26</v>
      </c>
      <c r="F144" s="22">
        <f>ROUND(0.04*409.08,0)*3.53*2</f>
        <v>112.96</v>
      </c>
      <c r="G144" s="22">
        <f>ROUND(0.04*366.33,0)*3.53*2</f>
        <v>105.89999999999999</v>
      </c>
      <c r="H144" s="22">
        <f>ROUND(0.04*254.17,0)*3.53*2</f>
        <v>70.6</v>
      </c>
      <c r="I144" s="22"/>
      <c r="J144" s="20"/>
      <c r="K144" s="22"/>
      <c r="L144" s="22"/>
      <c r="M144" s="22"/>
      <c r="N144" s="22"/>
      <c r="O144" s="22"/>
      <c r="P144" s="22"/>
      <c r="Q144" s="20">
        <f t="shared" si="6"/>
        <v>437.7199999999999</v>
      </c>
    </row>
    <row r="145" spans="1:17" ht="12.75">
      <c r="A145" s="73">
        <f t="shared" si="7"/>
        <v>138</v>
      </c>
      <c r="B145" s="9" t="s">
        <v>199</v>
      </c>
      <c r="C145" s="9">
        <v>21184</v>
      </c>
      <c r="D145" s="17">
        <v>2</v>
      </c>
      <c r="E145" s="22">
        <f>ROUND(0.04*521.42,0)*3.53*2</f>
        <v>148.26</v>
      </c>
      <c r="F145" s="22">
        <f>ROUND(0.04*409.08,0)*3.53*2</f>
        <v>112.96</v>
      </c>
      <c r="G145" s="22">
        <f>ROUND(0.04*366.33,0)*3.53*2</f>
        <v>105.89999999999999</v>
      </c>
      <c r="H145" s="22">
        <f>ROUND(0.04*254.17,0)*3.53*2</f>
        <v>70.6</v>
      </c>
      <c r="I145" s="22"/>
      <c r="J145" s="20"/>
      <c r="K145" s="22"/>
      <c r="L145" s="22"/>
      <c r="M145" s="22"/>
      <c r="N145" s="22"/>
      <c r="O145" s="22"/>
      <c r="P145" s="22"/>
      <c r="Q145" s="20">
        <f t="shared" si="6"/>
        <v>437.7199999999999</v>
      </c>
    </row>
    <row r="146" spans="1:231" s="44" customFormat="1" ht="12.75">
      <c r="A146" s="73">
        <f t="shared" si="7"/>
        <v>139</v>
      </c>
      <c r="B146" s="10" t="s">
        <v>200</v>
      </c>
      <c r="C146" s="10">
        <v>21188</v>
      </c>
      <c r="D146" s="45">
        <v>2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>
        <f t="shared" si="6"/>
        <v>0</v>
      </c>
      <c r="R146" s="34"/>
      <c r="S146" s="34"/>
      <c r="T146" s="34"/>
      <c r="U146" s="34"/>
      <c r="V146" s="34"/>
      <c r="W146" s="34"/>
      <c r="X146" s="34"/>
      <c r="Y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</row>
    <row r="147" spans="1:17" ht="12.75">
      <c r="A147" s="73">
        <f t="shared" si="7"/>
        <v>140</v>
      </c>
      <c r="B147" s="9" t="s">
        <v>201</v>
      </c>
      <c r="C147" s="9">
        <v>21173</v>
      </c>
      <c r="D147" s="17">
        <v>5</v>
      </c>
      <c r="E147" s="22">
        <f>ROUND(0.04*521.42,0)*3.53*5</f>
        <v>370.65</v>
      </c>
      <c r="F147" s="22">
        <f>ROUND(0.04*409.08,0)*3.53*5</f>
        <v>282.4</v>
      </c>
      <c r="G147" s="22">
        <f>ROUND(0.04*366.33,0)*3.53*5</f>
        <v>264.75</v>
      </c>
      <c r="H147" s="22">
        <f>ROUND(0.04*254.17,0)*3.53*5</f>
        <v>176.5</v>
      </c>
      <c r="I147" s="20"/>
      <c r="J147" s="20"/>
      <c r="K147" s="22"/>
      <c r="L147" s="22"/>
      <c r="M147" s="22"/>
      <c r="N147" s="22"/>
      <c r="O147" s="22"/>
      <c r="P147" s="22"/>
      <c r="Q147" s="20">
        <f t="shared" si="6"/>
        <v>1094.3</v>
      </c>
    </row>
    <row r="148" spans="1:17" ht="12.75">
      <c r="A148" s="73">
        <f t="shared" si="7"/>
        <v>141</v>
      </c>
      <c r="B148" s="9" t="s">
        <v>202</v>
      </c>
      <c r="C148" s="9">
        <v>21833</v>
      </c>
      <c r="D148" s="17" t="s">
        <v>585</v>
      </c>
      <c r="E148" s="20"/>
      <c r="F148" s="20"/>
      <c r="G148" s="20"/>
      <c r="H148" s="20"/>
      <c r="I148" s="20"/>
      <c r="J148" s="20"/>
      <c r="K148" s="22"/>
      <c r="L148" s="20"/>
      <c r="M148" s="20"/>
      <c r="N148" s="20"/>
      <c r="O148" s="20"/>
      <c r="P148" s="20"/>
      <c r="Q148" s="20">
        <f t="shared" si="6"/>
        <v>0</v>
      </c>
    </row>
    <row r="149" spans="1:17" ht="12.75">
      <c r="A149" s="73">
        <f t="shared" si="7"/>
        <v>142</v>
      </c>
      <c r="B149" s="9" t="s">
        <v>203</v>
      </c>
      <c r="C149" s="9">
        <v>21174</v>
      </c>
      <c r="D149" s="17">
        <v>4</v>
      </c>
      <c r="E149" s="22">
        <f>ROUND(0.04*521.42,0)*3.53*4</f>
        <v>296.52</v>
      </c>
      <c r="F149" s="22">
        <f>ROUND(0.04*409.08,0)*3.53*4</f>
        <v>225.92</v>
      </c>
      <c r="G149" s="22">
        <f>ROUND(0.04*366.33,0)*3.53*4</f>
        <v>211.79999999999998</v>
      </c>
      <c r="H149" s="22">
        <f>ROUND(0.04*254.17,0)*3.53*4</f>
        <v>141.2</v>
      </c>
      <c r="I149" s="20"/>
      <c r="J149" s="20"/>
      <c r="K149" s="22"/>
      <c r="L149" s="22"/>
      <c r="M149" s="22"/>
      <c r="N149" s="22"/>
      <c r="O149" s="22"/>
      <c r="P149" s="22"/>
      <c r="Q149" s="20">
        <f t="shared" si="6"/>
        <v>875.4399999999998</v>
      </c>
    </row>
    <row r="150" spans="1:17" ht="12.75">
      <c r="A150" s="73">
        <f t="shared" si="7"/>
        <v>143</v>
      </c>
      <c r="B150" s="10" t="s">
        <v>204</v>
      </c>
      <c r="C150" s="10">
        <v>11712</v>
      </c>
      <c r="D150" s="45" t="s">
        <v>584</v>
      </c>
      <c r="E150" s="46"/>
      <c r="F150" s="46"/>
      <c r="G150" s="46"/>
      <c r="H150" s="46"/>
      <c r="I150" s="43"/>
      <c r="J150" s="43"/>
      <c r="K150" s="43"/>
      <c r="L150" s="43"/>
      <c r="M150" s="46"/>
      <c r="N150" s="46"/>
      <c r="O150" s="46"/>
      <c r="P150" s="46"/>
      <c r="Q150" s="43">
        <f t="shared" si="6"/>
        <v>0</v>
      </c>
    </row>
    <row r="151" spans="1:17" ht="12.75">
      <c r="A151" s="73">
        <f t="shared" si="7"/>
        <v>144</v>
      </c>
      <c r="B151" s="9" t="s">
        <v>205</v>
      </c>
      <c r="C151" s="9">
        <v>11706</v>
      </c>
      <c r="D151" s="17">
        <v>3</v>
      </c>
      <c r="E151" s="22">
        <f>ROUND(0.04*521.42,0)*3.53*3</f>
        <v>222.39</v>
      </c>
      <c r="F151" s="22">
        <f>ROUND(0.04*409.08,0)*3.53*3</f>
        <v>169.44</v>
      </c>
      <c r="G151" s="22">
        <f>ROUND(0.04*366.33,0)*3.53*3</f>
        <v>158.85</v>
      </c>
      <c r="H151" s="22">
        <f>ROUND(0.04*254.17,0)*3.53*3</f>
        <v>105.89999999999999</v>
      </c>
      <c r="I151" s="20"/>
      <c r="J151" s="20"/>
      <c r="K151" s="22"/>
      <c r="L151" s="22"/>
      <c r="M151" s="22"/>
      <c r="N151" s="22"/>
      <c r="O151" s="22"/>
      <c r="P151" s="22"/>
      <c r="Q151" s="20">
        <f t="shared" si="6"/>
        <v>656.5799999999999</v>
      </c>
    </row>
    <row r="152" spans="1:17" ht="12.75">
      <c r="A152" s="73">
        <f t="shared" si="7"/>
        <v>145</v>
      </c>
      <c r="B152" s="9" t="s">
        <v>206</v>
      </c>
      <c r="C152" s="9">
        <v>21196</v>
      </c>
      <c r="D152" s="17" t="s">
        <v>585</v>
      </c>
      <c r="E152" s="20">
        <v>155.67</v>
      </c>
      <c r="F152" s="20">
        <v>170.6</v>
      </c>
      <c r="G152" s="20"/>
      <c r="H152" s="20"/>
      <c r="I152" s="20"/>
      <c r="J152" s="20"/>
      <c r="K152" s="22"/>
      <c r="L152" s="20"/>
      <c r="M152" s="20"/>
      <c r="N152" s="20"/>
      <c r="O152" s="20"/>
      <c r="P152" s="20"/>
      <c r="Q152" s="20">
        <f t="shared" si="6"/>
        <v>326.27</v>
      </c>
    </row>
    <row r="153" spans="1:17" ht="12.75">
      <c r="A153" s="73">
        <f t="shared" si="7"/>
        <v>146</v>
      </c>
      <c r="B153" s="12" t="s">
        <v>207</v>
      </c>
      <c r="C153" s="12">
        <v>21197</v>
      </c>
      <c r="D153" s="90">
        <v>3</v>
      </c>
      <c r="E153" s="22">
        <f>ROUND(0.04*521.42,0)*3.53*3</f>
        <v>222.39</v>
      </c>
      <c r="F153" s="22">
        <f>ROUND(0.04*409.08,0)*3.53*3</f>
        <v>169.44</v>
      </c>
      <c r="G153" s="22">
        <f>ROUND(0.04*366.33,0)*3.53*3</f>
        <v>158.85</v>
      </c>
      <c r="H153" s="22">
        <f>ROUND(0.04*254.17,0)*3.53*3</f>
        <v>105.89999999999999</v>
      </c>
      <c r="I153" s="22"/>
      <c r="J153" s="22"/>
      <c r="K153" s="22"/>
      <c r="L153" s="22"/>
      <c r="M153" s="22"/>
      <c r="N153" s="22"/>
      <c r="O153" s="22"/>
      <c r="P153" s="22"/>
      <c r="Q153" s="22">
        <f t="shared" si="6"/>
        <v>656.5799999999999</v>
      </c>
    </row>
    <row r="154" spans="1:17" ht="12.75">
      <c r="A154" s="73">
        <f t="shared" si="7"/>
        <v>147</v>
      </c>
      <c r="B154" s="9" t="s">
        <v>208</v>
      </c>
      <c r="C154" s="9">
        <v>12041</v>
      </c>
      <c r="D154" s="17">
        <v>3</v>
      </c>
      <c r="E154" s="22">
        <f>ROUND(0.04*521.42,0)*3.53*3</f>
        <v>222.39</v>
      </c>
      <c r="F154" s="22">
        <f>ROUND(0.04*409.08,0)*3.53*3</f>
        <v>169.44</v>
      </c>
      <c r="G154" s="22">
        <f>ROUND(0.04*366.33,0)*3.53*3</f>
        <v>158.85</v>
      </c>
      <c r="H154" s="22">
        <f>ROUND(0.04*254.17,0)*3.53*3</f>
        <v>105.89999999999999</v>
      </c>
      <c r="I154" s="20"/>
      <c r="J154" s="20"/>
      <c r="K154" s="22"/>
      <c r="L154" s="22"/>
      <c r="M154" s="22"/>
      <c r="N154" s="22"/>
      <c r="O154" s="22"/>
      <c r="P154" s="22"/>
      <c r="Q154" s="20">
        <f t="shared" si="6"/>
        <v>656.5799999999999</v>
      </c>
    </row>
    <row r="155" spans="1:17" ht="12.75">
      <c r="A155" s="73">
        <f t="shared" si="7"/>
        <v>148</v>
      </c>
      <c r="B155" s="9" t="s">
        <v>209</v>
      </c>
      <c r="C155" s="9">
        <v>12042</v>
      </c>
      <c r="D155" s="17">
        <v>14</v>
      </c>
      <c r="E155" s="22">
        <f>ROUND(0.04*521.42,0)*3.53*14</f>
        <v>1037.82</v>
      </c>
      <c r="F155" s="22">
        <f>ROUND(0.04*409.08,0)*3.53*14</f>
        <v>790.7199999999999</v>
      </c>
      <c r="G155" s="22">
        <f>ROUND(0.04*366.33,0)*3.53*14</f>
        <v>741.3</v>
      </c>
      <c r="H155" s="22">
        <f>ROUND(0.04*254.17,0)*3.53*14</f>
        <v>494.19999999999993</v>
      </c>
      <c r="I155" s="20"/>
      <c r="J155" s="20"/>
      <c r="K155" s="22"/>
      <c r="L155" s="22"/>
      <c r="M155" s="22"/>
      <c r="N155" s="22"/>
      <c r="O155" s="22"/>
      <c r="P155" s="22"/>
      <c r="Q155" s="20">
        <f t="shared" si="6"/>
        <v>3064.04</v>
      </c>
    </row>
    <row r="156" spans="1:17" ht="12.75">
      <c r="A156" s="73">
        <f t="shared" si="7"/>
        <v>149</v>
      </c>
      <c r="B156" s="10" t="s">
        <v>210</v>
      </c>
      <c r="C156" s="10">
        <v>12049</v>
      </c>
      <c r="D156" s="45" t="s">
        <v>584</v>
      </c>
      <c r="E156" s="46"/>
      <c r="F156" s="46"/>
      <c r="G156" s="46"/>
      <c r="H156" s="46"/>
      <c r="I156" s="43"/>
      <c r="J156" s="43"/>
      <c r="K156" s="43"/>
      <c r="L156" s="43"/>
      <c r="M156" s="46"/>
      <c r="N156" s="46"/>
      <c r="O156" s="46"/>
      <c r="P156" s="46"/>
      <c r="Q156" s="43">
        <f t="shared" si="6"/>
        <v>0</v>
      </c>
    </row>
    <row r="157" spans="1:17" ht="12.75">
      <c r="A157" s="73">
        <f t="shared" si="7"/>
        <v>150</v>
      </c>
      <c r="B157" s="9" t="s">
        <v>211</v>
      </c>
      <c r="C157" s="9">
        <v>12050</v>
      </c>
      <c r="D157" s="17">
        <v>10</v>
      </c>
      <c r="E157" s="22">
        <f>ROUND(0.04*521.42,0)*3.53*10</f>
        <v>741.3</v>
      </c>
      <c r="F157" s="22">
        <f>ROUND(0.04*409.08,0)*3.53*10</f>
        <v>564.8</v>
      </c>
      <c r="G157" s="22">
        <f>ROUND(0.04*366.33,0)*3.53*10</f>
        <v>529.5</v>
      </c>
      <c r="H157" s="22">
        <f>ROUND(0.04*254.17,0)*3.53*10</f>
        <v>353</v>
      </c>
      <c r="I157" s="20"/>
      <c r="J157" s="20"/>
      <c r="K157" s="22"/>
      <c r="L157" s="22"/>
      <c r="M157" s="22"/>
      <c r="N157" s="22"/>
      <c r="O157" s="22"/>
      <c r="P157" s="22"/>
      <c r="Q157" s="20">
        <f t="shared" si="6"/>
        <v>2188.6</v>
      </c>
    </row>
    <row r="158" spans="1:17" ht="12.75">
      <c r="A158" s="73">
        <f t="shared" si="7"/>
        <v>151</v>
      </c>
      <c r="B158" s="9" t="s">
        <v>212</v>
      </c>
      <c r="C158" s="9">
        <v>12038</v>
      </c>
      <c r="D158" s="17">
        <v>4</v>
      </c>
      <c r="E158" s="22">
        <f>ROUND(0.04*521.42,0)*3.53*4</f>
        <v>296.52</v>
      </c>
      <c r="F158" s="22">
        <f>ROUND(0.04*409.08,0)*3.53*4</f>
        <v>225.92</v>
      </c>
      <c r="G158" s="22">
        <f>ROUND(0.04*366.33,0)*3.53*4</f>
        <v>211.79999999999998</v>
      </c>
      <c r="H158" s="22">
        <f>ROUND(0.04*254.17,0)*3.53*4</f>
        <v>141.2</v>
      </c>
      <c r="I158" s="20"/>
      <c r="J158" s="20"/>
      <c r="K158" s="22"/>
      <c r="L158" s="22"/>
      <c r="M158" s="22"/>
      <c r="N158" s="22"/>
      <c r="O158" s="22"/>
      <c r="P158" s="22"/>
      <c r="Q158" s="20">
        <f t="shared" si="6"/>
        <v>875.4399999999998</v>
      </c>
    </row>
    <row r="159" spans="1:17" ht="12.75">
      <c r="A159" s="73">
        <f t="shared" si="7"/>
        <v>152</v>
      </c>
      <c r="B159" s="9" t="s">
        <v>213</v>
      </c>
      <c r="C159" s="9">
        <v>12052</v>
      </c>
      <c r="D159" s="17">
        <v>15</v>
      </c>
      <c r="E159" s="22">
        <f>ROUND(0.04*521.42,0)*3.53*15</f>
        <v>1111.9499999999998</v>
      </c>
      <c r="F159" s="22">
        <f>ROUND(0.04*409.08,0)*3.53*15</f>
        <v>847.1999999999999</v>
      </c>
      <c r="G159" s="22">
        <f>ROUND(0.04*366.33,0)*3.53*15</f>
        <v>794.2499999999999</v>
      </c>
      <c r="H159" s="22">
        <f>ROUND(0.04*254.17,0)*3.53*15</f>
        <v>529.5</v>
      </c>
      <c r="I159" s="20"/>
      <c r="J159" s="20"/>
      <c r="K159" s="22"/>
      <c r="L159" s="22"/>
      <c r="M159" s="22"/>
      <c r="N159" s="22"/>
      <c r="O159" s="22"/>
      <c r="P159" s="22"/>
      <c r="Q159" s="20">
        <f t="shared" si="6"/>
        <v>3282.8999999999996</v>
      </c>
    </row>
    <row r="160" spans="1:17" ht="12.75">
      <c r="A160" s="73">
        <f t="shared" si="7"/>
        <v>153</v>
      </c>
      <c r="B160" s="47" t="s">
        <v>601</v>
      </c>
      <c r="C160" s="10"/>
      <c r="D160" s="45">
        <v>4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>
        <f t="shared" si="6"/>
        <v>0</v>
      </c>
    </row>
    <row r="161" spans="1:17" ht="12.75">
      <c r="A161" s="73">
        <f t="shared" si="7"/>
        <v>154</v>
      </c>
      <c r="B161" s="9" t="s">
        <v>214</v>
      </c>
      <c r="C161" s="9">
        <v>21352</v>
      </c>
      <c r="D161" s="17" t="s">
        <v>585</v>
      </c>
      <c r="E161" s="20">
        <v>8346.36</v>
      </c>
      <c r="F161" s="20">
        <v>9315.98</v>
      </c>
      <c r="G161" s="20"/>
      <c r="H161" s="20"/>
      <c r="I161" s="20"/>
      <c r="J161" s="20"/>
      <c r="K161" s="22"/>
      <c r="L161" s="20"/>
      <c r="M161" s="20"/>
      <c r="N161" s="20"/>
      <c r="O161" s="20"/>
      <c r="P161" s="20"/>
      <c r="Q161" s="20">
        <f t="shared" si="6"/>
        <v>17662.34</v>
      </c>
    </row>
    <row r="162" spans="1:17" ht="12.75">
      <c r="A162" s="73">
        <f t="shared" si="7"/>
        <v>155</v>
      </c>
      <c r="B162" s="9" t="s">
        <v>215</v>
      </c>
      <c r="C162" s="9">
        <v>21103</v>
      </c>
      <c r="D162" s="31" t="s">
        <v>588</v>
      </c>
      <c r="E162" s="20">
        <v>2710.77</v>
      </c>
      <c r="F162" s="20">
        <v>2857.98</v>
      </c>
      <c r="G162" s="20"/>
      <c r="H162" s="20"/>
      <c r="I162" s="20"/>
      <c r="J162" s="20"/>
      <c r="K162" s="22"/>
      <c r="L162" s="20"/>
      <c r="M162" s="20"/>
      <c r="N162" s="20"/>
      <c r="O162" s="20"/>
      <c r="P162" s="20"/>
      <c r="Q162" s="20">
        <f t="shared" si="6"/>
        <v>5568.75</v>
      </c>
    </row>
    <row r="163" spans="1:17" ht="12.75">
      <c r="A163" s="73">
        <f t="shared" si="7"/>
        <v>156</v>
      </c>
      <c r="B163" s="9" t="s">
        <v>216</v>
      </c>
      <c r="C163" s="9">
        <v>21104</v>
      </c>
      <c r="D163" s="17" t="s">
        <v>585</v>
      </c>
      <c r="E163" s="20">
        <v>428.74</v>
      </c>
      <c r="F163" s="20">
        <v>420.91</v>
      </c>
      <c r="G163" s="20"/>
      <c r="H163" s="20"/>
      <c r="I163" s="20"/>
      <c r="J163" s="20"/>
      <c r="K163" s="22"/>
      <c r="L163" s="20"/>
      <c r="M163" s="20"/>
      <c r="N163" s="20"/>
      <c r="O163" s="20"/>
      <c r="P163" s="20"/>
      <c r="Q163" s="20">
        <f t="shared" si="6"/>
        <v>849.6500000000001</v>
      </c>
    </row>
    <row r="164" spans="1:231" s="44" customFormat="1" ht="12.75">
      <c r="A164" s="73">
        <f t="shared" si="7"/>
        <v>157</v>
      </c>
      <c r="B164" s="9" t="s">
        <v>217</v>
      </c>
      <c r="C164" s="9">
        <v>21105</v>
      </c>
      <c r="D164" s="17" t="s">
        <v>585</v>
      </c>
      <c r="E164" s="20">
        <v>257.31</v>
      </c>
      <c r="F164" s="20">
        <v>212.52</v>
      </c>
      <c r="G164" s="20"/>
      <c r="H164" s="20"/>
      <c r="I164" s="20"/>
      <c r="J164" s="20"/>
      <c r="K164" s="22"/>
      <c r="L164" s="20"/>
      <c r="M164" s="20"/>
      <c r="N164" s="20"/>
      <c r="O164" s="20"/>
      <c r="P164" s="20"/>
      <c r="Q164" s="20">
        <f t="shared" si="6"/>
        <v>469.83000000000004</v>
      </c>
      <c r="R164" s="34"/>
      <c r="S164" s="34"/>
      <c r="T164" s="34"/>
      <c r="U164" s="34"/>
      <c r="V164" s="34"/>
      <c r="W164" s="34"/>
      <c r="X164" s="34"/>
      <c r="Y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</row>
    <row r="165" spans="1:17" ht="12.75">
      <c r="A165" s="73">
        <f t="shared" si="7"/>
        <v>158</v>
      </c>
      <c r="B165" s="9" t="s">
        <v>218</v>
      </c>
      <c r="C165" s="9">
        <v>21106</v>
      </c>
      <c r="D165" s="17" t="s">
        <v>585</v>
      </c>
      <c r="E165" s="20">
        <v>431.51</v>
      </c>
      <c r="F165" s="20">
        <v>415.17</v>
      </c>
      <c r="G165" s="20"/>
      <c r="H165" s="20"/>
      <c r="I165" s="20"/>
      <c r="J165" s="20"/>
      <c r="K165" s="22"/>
      <c r="L165" s="20"/>
      <c r="M165" s="20"/>
      <c r="N165" s="20"/>
      <c r="O165" s="20"/>
      <c r="P165" s="20"/>
      <c r="Q165" s="20">
        <f t="shared" si="6"/>
        <v>846.6800000000001</v>
      </c>
    </row>
    <row r="166" spans="1:231" s="44" customFormat="1" ht="12.75">
      <c r="A166" s="73">
        <f t="shared" si="7"/>
        <v>159</v>
      </c>
      <c r="B166" s="9" t="s">
        <v>219</v>
      </c>
      <c r="C166" s="9">
        <v>21107</v>
      </c>
      <c r="D166" s="17" t="s">
        <v>585</v>
      </c>
      <c r="E166" s="20">
        <v>673.16</v>
      </c>
      <c r="F166" s="20">
        <v>641.89</v>
      </c>
      <c r="G166" s="20"/>
      <c r="H166" s="20"/>
      <c r="I166" s="20"/>
      <c r="J166" s="20"/>
      <c r="K166" s="22"/>
      <c r="L166" s="20"/>
      <c r="M166" s="20"/>
      <c r="N166" s="20"/>
      <c r="O166" s="20"/>
      <c r="P166" s="20"/>
      <c r="Q166" s="20">
        <f t="shared" si="6"/>
        <v>1315.05</v>
      </c>
      <c r="R166" s="34"/>
      <c r="S166" s="34"/>
      <c r="T166" s="34"/>
      <c r="U166" s="34"/>
      <c r="V166" s="34"/>
      <c r="W166" s="34"/>
      <c r="X166" s="34"/>
      <c r="Y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</row>
    <row r="167" spans="1:17" ht="12.75">
      <c r="A167" s="73">
        <f t="shared" si="7"/>
        <v>160</v>
      </c>
      <c r="B167" s="10" t="s">
        <v>220</v>
      </c>
      <c r="C167" s="10">
        <v>31021</v>
      </c>
      <c r="D167" s="45" t="s">
        <v>591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>
        <f t="shared" si="6"/>
        <v>0</v>
      </c>
    </row>
    <row r="168" spans="1:231" s="44" customFormat="1" ht="12.75">
      <c r="A168" s="73">
        <f t="shared" si="7"/>
        <v>161</v>
      </c>
      <c r="B168" s="9" t="s">
        <v>221</v>
      </c>
      <c r="C168" s="9">
        <v>21108</v>
      </c>
      <c r="D168" s="31" t="s">
        <v>588</v>
      </c>
      <c r="E168" s="22">
        <v>1994.18</v>
      </c>
      <c r="F168" s="20">
        <v>1978.52</v>
      </c>
      <c r="G168" s="20"/>
      <c r="H168" s="20"/>
      <c r="I168" s="20"/>
      <c r="J168" s="20"/>
      <c r="K168" s="22"/>
      <c r="L168" s="20"/>
      <c r="M168" s="20"/>
      <c r="N168" s="20"/>
      <c r="O168" s="20"/>
      <c r="P168" s="20"/>
      <c r="Q168" s="20">
        <f t="shared" si="6"/>
        <v>3972.7</v>
      </c>
      <c r="R168" s="34"/>
      <c r="S168" s="34"/>
      <c r="T168" s="34"/>
      <c r="U168" s="34"/>
      <c r="V168" s="34"/>
      <c r="W168" s="34"/>
      <c r="X168" s="34"/>
      <c r="Y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</row>
    <row r="169" spans="1:17" ht="12.75">
      <c r="A169" s="73">
        <f t="shared" si="7"/>
        <v>162</v>
      </c>
      <c r="B169" s="9" t="s">
        <v>222</v>
      </c>
      <c r="C169" s="9">
        <v>21109</v>
      </c>
      <c r="D169" s="31" t="s">
        <v>588</v>
      </c>
      <c r="E169" s="20">
        <v>1824.01</v>
      </c>
      <c r="F169" s="20">
        <v>1796.29</v>
      </c>
      <c r="G169" s="20"/>
      <c r="H169" s="20"/>
      <c r="I169" s="20"/>
      <c r="J169" s="20"/>
      <c r="K169" s="22"/>
      <c r="L169" s="20"/>
      <c r="M169" s="20"/>
      <c r="N169" s="20"/>
      <c r="O169" s="20"/>
      <c r="P169" s="20"/>
      <c r="Q169" s="20">
        <f aca="true" t="shared" si="8" ref="Q169:Q174">E169+F169+G169+H169+I169+J169+K169+L169+M169+N169+O169+P169</f>
        <v>3620.3</v>
      </c>
    </row>
    <row r="170" spans="1:231" s="44" customFormat="1" ht="12.75">
      <c r="A170" s="73">
        <f t="shared" si="7"/>
        <v>163</v>
      </c>
      <c r="B170" s="9" t="s">
        <v>223</v>
      </c>
      <c r="C170" s="9">
        <v>21110</v>
      </c>
      <c r="D170" s="31" t="s">
        <v>588</v>
      </c>
      <c r="E170" s="20">
        <v>2057.2</v>
      </c>
      <c r="F170" s="20">
        <v>2017.37</v>
      </c>
      <c r="G170" s="20"/>
      <c r="H170" s="20"/>
      <c r="I170" s="20"/>
      <c r="J170" s="20"/>
      <c r="K170" s="22"/>
      <c r="L170" s="20"/>
      <c r="M170" s="20"/>
      <c r="N170" s="20"/>
      <c r="O170" s="20"/>
      <c r="P170" s="20"/>
      <c r="Q170" s="20">
        <f t="shared" si="8"/>
        <v>4074.5699999999997</v>
      </c>
      <c r="R170" s="34"/>
      <c r="S170" s="34"/>
      <c r="T170" s="34"/>
      <c r="U170" s="34"/>
      <c r="V170" s="34"/>
      <c r="W170" s="34"/>
      <c r="X170" s="34"/>
      <c r="Y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</row>
    <row r="171" spans="1:17" ht="12.75">
      <c r="A171" s="73">
        <f t="shared" si="7"/>
        <v>164</v>
      </c>
      <c r="B171" s="9" t="s">
        <v>224</v>
      </c>
      <c r="C171" s="9">
        <v>21100</v>
      </c>
      <c r="D171" s="31" t="s">
        <v>588</v>
      </c>
      <c r="E171" s="20">
        <v>2249.05</v>
      </c>
      <c r="F171" s="20">
        <v>2231.25</v>
      </c>
      <c r="G171" s="20"/>
      <c r="H171" s="20"/>
      <c r="I171" s="20"/>
      <c r="J171" s="20"/>
      <c r="K171" s="22"/>
      <c r="L171" s="20"/>
      <c r="M171" s="20"/>
      <c r="N171" s="20"/>
      <c r="O171" s="20"/>
      <c r="P171" s="20"/>
      <c r="Q171" s="20">
        <f t="shared" si="8"/>
        <v>4480.3</v>
      </c>
    </row>
    <row r="172" spans="1:231" s="44" customFormat="1" ht="12.75">
      <c r="A172" s="73">
        <f t="shared" si="7"/>
        <v>165</v>
      </c>
      <c r="B172" s="9" t="s">
        <v>225</v>
      </c>
      <c r="C172" s="9">
        <v>21101</v>
      </c>
      <c r="D172" s="17" t="s">
        <v>585</v>
      </c>
      <c r="E172" s="20">
        <v>6585.9</v>
      </c>
      <c r="F172" s="20">
        <v>6569.56</v>
      </c>
      <c r="G172" s="20"/>
      <c r="H172" s="20"/>
      <c r="I172" s="20"/>
      <c r="J172" s="20"/>
      <c r="K172" s="22"/>
      <c r="L172" s="20"/>
      <c r="M172" s="20"/>
      <c r="N172" s="20"/>
      <c r="O172" s="20"/>
      <c r="P172" s="20"/>
      <c r="Q172" s="20">
        <f t="shared" si="8"/>
        <v>13155.46</v>
      </c>
      <c r="R172" s="34"/>
      <c r="S172" s="34"/>
      <c r="T172" s="34"/>
      <c r="U172" s="34"/>
      <c r="V172" s="34"/>
      <c r="W172" s="34"/>
      <c r="X172" s="34"/>
      <c r="Y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</row>
    <row r="173" spans="1:17" ht="12.75">
      <c r="A173" s="73">
        <f t="shared" si="7"/>
        <v>166</v>
      </c>
      <c r="B173" s="9" t="s">
        <v>226</v>
      </c>
      <c r="C173" s="9">
        <v>21102</v>
      </c>
      <c r="D173" s="17" t="s">
        <v>585</v>
      </c>
      <c r="E173" s="20">
        <v>366.78</v>
      </c>
      <c r="F173" s="20">
        <v>355.4</v>
      </c>
      <c r="G173" s="20"/>
      <c r="H173" s="20"/>
      <c r="I173" s="20"/>
      <c r="J173" s="20"/>
      <c r="K173" s="22"/>
      <c r="L173" s="20"/>
      <c r="M173" s="20"/>
      <c r="N173" s="20"/>
      <c r="O173" s="20"/>
      <c r="P173" s="20"/>
      <c r="Q173" s="20">
        <f t="shared" si="8"/>
        <v>722.18</v>
      </c>
    </row>
    <row r="174" spans="1:22" ht="12.75">
      <c r="A174" s="73">
        <f t="shared" si="7"/>
        <v>167</v>
      </c>
      <c r="B174" s="10" t="s">
        <v>227</v>
      </c>
      <c r="C174" s="10">
        <v>21207</v>
      </c>
      <c r="D174" s="45">
        <v>1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>
        <f t="shared" si="8"/>
        <v>0</v>
      </c>
      <c r="T174" s="81"/>
      <c r="U174" s="81"/>
      <c r="V174" s="81"/>
    </row>
    <row r="175" spans="1:22" ht="12.75">
      <c r="A175" s="73">
        <f t="shared" si="7"/>
        <v>168</v>
      </c>
      <c r="B175" s="27" t="s">
        <v>228</v>
      </c>
      <c r="C175" s="9">
        <v>21530</v>
      </c>
      <c r="D175" s="26" t="s">
        <v>583</v>
      </c>
      <c r="E175" s="89">
        <v>10491.8</v>
      </c>
      <c r="F175" s="20"/>
      <c r="G175" s="20">
        <v>13843.4</v>
      </c>
      <c r="H175" s="20"/>
      <c r="I175" s="20"/>
      <c r="J175" s="20"/>
      <c r="K175" s="22"/>
      <c r="L175" s="20"/>
      <c r="M175" s="20"/>
      <c r="N175" s="20"/>
      <c r="O175" s="20"/>
      <c r="P175" s="20"/>
      <c r="Q175" s="20">
        <f>E175+F175+G175+H175+I188+J175+K175+L175+M175+N175+O175+P175</f>
        <v>24335.199999999997</v>
      </c>
      <c r="T175" s="79"/>
      <c r="U175" s="82"/>
      <c r="V175" s="81"/>
    </row>
    <row r="176" spans="1:22" ht="12.75">
      <c r="A176" s="73">
        <f t="shared" si="7"/>
        <v>169</v>
      </c>
      <c r="B176" s="27" t="s">
        <v>229</v>
      </c>
      <c r="C176" s="9">
        <v>21531</v>
      </c>
      <c r="D176" s="26" t="s">
        <v>583</v>
      </c>
      <c r="E176" s="89">
        <v>15891.8</v>
      </c>
      <c r="F176" s="20"/>
      <c r="G176" s="20">
        <v>21019.4</v>
      </c>
      <c r="H176" s="20"/>
      <c r="I176" s="22"/>
      <c r="J176" s="20"/>
      <c r="K176" s="22"/>
      <c r="L176" s="20"/>
      <c r="M176" s="20"/>
      <c r="N176" s="20"/>
      <c r="O176" s="20"/>
      <c r="P176" s="20"/>
      <c r="Q176" s="20">
        <f>E176+F176+G176+H176+I189+J176+K176+L176+M176+N176+O176+P176</f>
        <v>36911.2</v>
      </c>
      <c r="T176" s="79"/>
      <c r="U176" s="82"/>
      <c r="V176" s="81"/>
    </row>
    <row r="177" spans="1:231" s="44" customFormat="1" ht="12.75">
      <c r="A177" s="73">
        <f t="shared" si="7"/>
        <v>170</v>
      </c>
      <c r="B177" s="27" t="s">
        <v>230</v>
      </c>
      <c r="C177" s="9">
        <v>21532</v>
      </c>
      <c r="D177" s="26" t="s">
        <v>583</v>
      </c>
      <c r="E177" s="89">
        <v>24878</v>
      </c>
      <c r="F177" s="20"/>
      <c r="G177" s="20">
        <v>20366.8</v>
      </c>
      <c r="H177" s="20"/>
      <c r="I177" s="22"/>
      <c r="J177" s="20"/>
      <c r="K177" s="22"/>
      <c r="L177" s="20"/>
      <c r="M177" s="20"/>
      <c r="N177" s="20"/>
      <c r="O177" s="20"/>
      <c r="P177" s="20"/>
      <c r="Q177" s="20">
        <f>E177+F177+G177+H177+I175+J177+K177+L177+M177+N177+O177+P177</f>
        <v>45244.8</v>
      </c>
      <c r="R177" s="34"/>
      <c r="S177" s="34"/>
      <c r="T177" s="79"/>
      <c r="U177" s="82"/>
      <c r="V177" s="81"/>
      <c r="W177" s="34"/>
      <c r="X177" s="34"/>
      <c r="Y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</row>
    <row r="178" spans="1:22" ht="12.75">
      <c r="A178" s="73">
        <f t="shared" si="7"/>
        <v>171</v>
      </c>
      <c r="B178" s="27" t="s">
        <v>231</v>
      </c>
      <c r="C178" s="9">
        <v>21533</v>
      </c>
      <c r="D178" s="26" t="s">
        <v>583</v>
      </c>
      <c r="E178" s="89">
        <v>7917.2</v>
      </c>
      <c r="F178" s="20"/>
      <c r="G178" s="20">
        <v>7802.4</v>
      </c>
      <c r="H178" s="20"/>
      <c r="I178" s="20"/>
      <c r="J178" s="20"/>
      <c r="K178" s="22"/>
      <c r="L178" s="20"/>
      <c r="M178" s="20"/>
      <c r="N178" s="20"/>
      <c r="O178" s="20"/>
      <c r="P178" s="20"/>
      <c r="Q178" s="20">
        <f aca="true" t="shared" si="9" ref="Q178:Q242">E178+F178+G178+H178+I178+J178+K178+L178+M178+N178+O178+P178</f>
        <v>15719.599999999999</v>
      </c>
      <c r="T178" s="79"/>
      <c r="U178" s="82"/>
      <c r="V178" s="81"/>
    </row>
    <row r="179" spans="1:22" ht="12.75">
      <c r="A179" s="73">
        <f t="shared" si="7"/>
        <v>172</v>
      </c>
      <c r="B179" s="27" t="s">
        <v>232</v>
      </c>
      <c r="C179" s="9">
        <v>21534</v>
      </c>
      <c r="D179" s="26" t="s">
        <v>583</v>
      </c>
      <c r="E179" s="89">
        <v>6665.4</v>
      </c>
      <c r="F179" s="20"/>
      <c r="G179" s="20">
        <v>7503.8</v>
      </c>
      <c r="H179" s="20"/>
      <c r="I179" s="20"/>
      <c r="J179" s="20"/>
      <c r="K179" s="22"/>
      <c r="L179" s="20"/>
      <c r="M179" s="20"/>
      <c r="N179" s="20"/>
      <c r="O179" s="20"/>
      <c r="P179" s="20"/>
      <c r="Q179" s="20">
        <f t="shared" si="9"/>
        <v>14169.2</v>
      </c>
      <c r="T179" s="79"/>
      <c r="U179" s="82"/>
      <c r="V179" s="81"/>
    </row>
    <row r="180" spans="1:22" ht="12.75">
      <c r="A180" s="73">
        <f t="shared" si="7"/>
        <v>173</v>
      </c>
      <c r="B180" s="27" t="s">
        <v>233</v>
      </c>
      <c r="C180" s="9">
        <v>21535</v>
      </c>
      <c r="D180" s="26" t="s">
        <v>583</v>
      </c>
      <c r="E180" s="89">
        <v>9424.8</v>
      </c>
      <c r="F180" s="20"/>
      <c r="G180" s="20">
        <v>13303.6</v>
      </c>
      <c r="H180" s="20"/>
      <c r="I180" s="20"/>
      <c r="J180" s="20"/>
      <c r="K180" s="22"/>
      <c r="L180" s="20"/>
      <c r="M180" s="20"/>
      <c r="N180" s="20"/>
      <c r="O180" s="20"/>
      <c r="P180" s="20"/>
      <c r="Q180" s="20">
        <f t="shared" si="9"/>
        <v>22728.4</v>
      </c>
      <c r="T180" s="79"/>
      <c r="U180" s="82"/>
      <c r="V180" s="81"/>
    </row>
    <row r="181" spans="1:22" ht="12.75">
      <c r="A181" s="73">
        <f t="shared" si="7"/>
        <v>174</v>
      </c>
      <c r="B181" s="27" t="s">
        <v>234</v>
      </c>
      <c r="C181" s="9">
        <v>21536</v>
      </c>
      <c r="D181" s="26" t="s">
        <v>583</v>
      </c>
      <c r="E181" s="89">
        <v>12806.6</v>
      </c>
      <c r="F181" s="20"/>
      <c r="G181" s="20">
        <v>9152.4</v>
      </c>
      <c r="H181" s="20"/>
      <c r="I181" s="20"/>
      <c r="J181" s="20"/>
      <c r="K181" s="22"/>
      <c r="L181" s="20"/>
      <c r="M181" s="20"/>
      <c r="N181" s="20"/>
      <c r="O181" s="20"/>
      <c r="P181" s="20"/>
      <c r="Q181" s="20">
        <f t="shared" si="9"/>
        <v>21959</v>
      </c>
      <c r="T181" s="79"/>
      <c r="U181" s="82"/>
      <c r="V181" s="81"/>
    </row>
    <row r="182" spans="1:22" ht="12.75">
      <c r="A182" s="73">
        <f t="shared" si="7"/>
        <v>175</v>
      </c>
      <c r="B182" s="27" t="s">
        <v>235</v>
      </c>
      <c r="C182" s="9">
        <v>21537</v>
      </c>
      <c r="D182" s="26" t="s">
        <v>583</v>
      </c>
      <c r="E182" s="89">
        <v>11716.4</v>
      </c>
      <c r="F182" s="20"/>
      <c r="G182" s="20">
        <v>9451</v>
      </c>
      <c r="H182" s="20"/>
      <c r="I182" s="20"/>
      <c r="J182" s="20"/>
      <c r="K182" s="22"/>
      <c r="L182" s="20"/>
      <c r="M182" s="20"/>
      <c r="N182" s="20"/>
      <c r="O182" s="20"/>
      <c r="P182" s="20"/>
      <c r="Q182" s="20">
        <f t="shared" si="9"/>
        <v>21167.4</v>
      </c>
      <c r="T182" s="79"/>
      <c r="U182" s="82"/>
      <c r="V182" s="81"/>
    </row>
    <row r="183" spans="1:22" ht="12.75">
      <c r="A183" s="73">
        <f t="shared" si="7"/>
        <v>176</v>
      </c>
      <c r="B183" s="27" t="s">
        <v>236</v>
      </c>
      <c r="C183" s="9">
        <v>21538</v>
      </c>
      <c r="D183" s="26" t="s">
        <v>583</v>
      </c>
      <c r="E183" s="89">
        <v>23179.6</v>
      </c>
      <c r="F183" s="20"/>
      <c r="G183" s="20">
        <v>23349.8</v>
      </c>
      <c r="H183" s="20"/>
      <c r="I183" s="20"/>
      <c r="J183" s="20"/>
      <c r="K183" s="22"/>
      <c r="L183" s="20"/>
      <c r="M183" s="20"/>
      <c r="N183" s="20"/>
      <c r="O183" s="20"/>
      <c r="P183" s="20"/>
      <c r="Q183" s="20">
        <f t="shared" si="9"/>
        <v>46529.399999999994</v>
      </c>
      <c r="T183" s="79"/>
      <c r="U183" s="82"/>
      <c r="V183" s="81"/>
    </row>
    <row r="184" spans="1:22" ht="12.75">
      <c r="A184" s="73">
        <f t="shared" si="7"/>
        <v>177</v>
      </c>
      <c r="B184" s="27" t="s">
        <v>237</v>
      </c>
      <c r="C184" s="9">
        <v>21539</v>
      </c>
      <c r="D184" s="26" t="s">
        <v>583</v>
      </c>
      <c r="E184" s="89">
        <v>16075.6</v>
      </c>
      <c r="F184" s="20"/>
      <c r="G184" s="20">
        <v>17850.6</v>
      </c>
      <c r="H184" s="20"/>
      <c r="I184" s="20"/>
      <c r="J184" s="20"/>
      <c r="K184" s="22"/>
      <c r="L184" s="20"/>
      <c r="M184" s="20"/>
      <c r="N184" s="20"/>
      <c r="O184" s="20"/>
      <c r="P184" s="20"/>
      <c r="Q184" s="20">
        <f t="shared" si="9"/>
        <v>33926.2</v>
      </c>
      <c r="T184" s="79"/>
      <c r="U184" s="82"/>
      <c r="V184" s="81"/>
    </row>
    <row r="185" spans="1:22" ht="12.75">
      <c r="A185" s="73">
        <f t="shared" si="7"/>
        <v>178</v>
      </c>
      <c r="B185" s="27" t="s">
        <v>238</v>
      </c>
      <c r="C185" s="9">
        <v>21540</v>
      </c>
      <c r="D185" s="26" t="s">
        <v>583</v>
      </c>
      <c r="E185" s="89">
        <v>29353</v>
      </c>
      <c r="F185" s="20"/>
      <c r="G185" s="20">
        <v>22490.2</v>
      </c>
      <c r="H185" s="20"/>
      <c r="I185" s="20"/>
      <c r="J185" s="20"/>
      <c r="K185" s="22"/>
      <c r="L185" s="20"/>
      <c r="M185" s="20"/>
      <c r="N185" s="20"/>
      <c r="O185" s="20"/>
      <c r="P185" s="20"/>
      <c r="Q185" s="20">
        <f t="shared" si="9"/>
        <v>51843.2</v>
      </c>
      <c r="T185" s="80"/>
      <c r="U185" s="82"/>
      <c r="V185" s="81"/>
    </row>
    <row r="186" spans="1:22" ht="12.75">
      <c r="A186" s="73">
        <f t="shared" si="7"/>
        <v>179</v>
      </c>
      <c r="B186" s="27" t="s">
        <v>239</v>
      </c>
      <c r="C186" s="9">
        <v>21541</v>
      </c>
      <c r="D186" s="26" t="s">
        <v>583</v>
      </c>
      <c r="E186" s="89">
        <v>30251.8</v>
      </c>
      <c r="F186" s="20"/>
      <c r="G186" s="20">
        <v>28468.8</v>
      </c>
      <c r="H186" s="20"/>
      <c r="I186" s="20"/>
      <c r="J186" s="20"/>
      <c r="K186" s="22"/>
      <c r="L186" s="20"/>
      <c r="M186" s="20"/>
      <c r="N186" s="20"/>
      <c r="O186" s="20"/>
      <c r="P186" s="20"/>
      <c r="Q186" s="20">
        <f t="shared" si="9"/>
        <v>58720.6</v>
      </c>
      <c r="T186" s="80"/>
      <c r="U186" s="82"/>
      <c r="V186" s="81"/>
    </row>
    <row r="187" spans="1:22" ht="12.75">
      <c r="A187" s="73">
        <f t="shared" si="7"/>
        <v>180</v>
      </c>
      <c r="B187" s="27" t="s">
        <v>240</v>
      </c>
      <c r="C187" s="9">
        <v>21542</v>
      </c>
      <c r="D187" s="26" t="s">
        <v>583</v>
      </c>
      <c r="E187" s="89">
        <v>17485</v>
      </c>
      <c r="F187" s="20"/>
      <c r="G187" s="20">
        <v>25623.8</v>
      </c>
      <c r="H187" s="20"/>
      <c r="I187" s="20"/>
      <c r="J187" s="20"/>
      <c r="K187" s="22"/>
      <c r="L187" s="20"/>
      <c r="M187" s="20"/>
      <c r="N187" s="20"/>
      <c r="O187" s="20"/>
      <c r="P187" s="20"/>
      <c r="Q187" s="20">
        <f t="shared" si="9"/>
        <v>43108.8</v>
      </c>
      <c r="T187" s="80"/>
      <c r="U187" s="82"/>
      <c r="V187" s="81"/>
    </row>
    <row r="188" spans="1:22" ht="12.75">
      <c r="A188" s="73">
        <f t="shared" si="7"/>
        <v>181</v>
      </c>
      <c r="B188" s="27" t="s">
        <v>241</v>
      </c>
      <c r="C188" s="9">
        <v>21528</v>
      </c>
      <c r="D188" s="26" t="s">
        <v>583</v>
      </c>
      <c r="E188" s="89">
        <v>21721.8</v>
      </c>
      <c r="F188" s="20"/>
      <c r="G188" s="20">
        <v>22712.8</v>
      </c>
      <c r="H188" s="20"/>
      <c r="I188" s="20"/>
      <c r="J188" s="20"/>
      <c r="K188" s="22"/>
      <c r="L188" s="20"/>
      <c r="M188" s="20"/>
      <c r="N188" s="20"/>
      <c r="O188" s="20"/>
      <c r="P188" s="20"/>
      <c r="Q188" s="20">
        <f t="shared" si="9"/>
        <v>44434.6</v>
      </c>
      <c r="T188" s="80"/>
      <c r="U188" s="82"/>
      <c r="V188" s="81"/>
    </row>
    <row r="189" spans="1:22" ht="12.75">
      <c r="A189" s="73">
        <f t="shared" si="7"/>
        <v>182</v>
      </c>
      <c r="B189" s="27" t="s">
        <v>242</v>
      </c>
      <c r="C189" s="9">
        <v>21529</v>
      </c>
      <c r="D189" s="26" t="s">
        <v>583</v>
      </c>
      <c r="E189" s="89">
        <v>14528.2</v>
      </c>
      <c r="F189" s="20"/>
      <c r="G189" s="20">
        <v>18617</v>
      </c>
      <c r="H189" s="20"/>
      <c r="I189" s="20"/>
      <c r="J189" s="20"/>
      <c r="K189" s="22"/>
      <c r="L189" s="20"/>
      <c r="M189" s="20"/>
      <c r="N189" s="20"/>
      <c r="O189" s="20"/>
      <c r="P189" s="20"/>
      <c r="Q189" s="20">
        <f t="shared" si="9"/>
        <v>33145.2</v>
      </c>
      <c r="T189" s="80"/>
      <c r="U189" s="82"/>
      <c r="V189" s="81"/>
    </row>
    <row r="190" spans="1:22" ht="12.75">
      <c r="A190" s="73">
        <f t="shared" si="7"/>
        <v>183</v>
      </c>
      <c r="B190" s="9" t="s">
        <v>243</v>
      </c>
      <c r="C190" s="9">
        <v>21367</v>
      </c>
      <c r="D190" s="17">
        <v>4</v>
      </c>
      <c r="E190" s="22">
        <f>ROUND(0.04*521.42,0)*3.53*4</f>
        <v>296.52</v>
      </c>
      <c r="F190" s="22">
        <f>ROUND(0.04*409.08,0)*3.53*4</f>
        <v>225.92</v>
      </c>
      <c r="G190" s="22">
        <f>ROUND(0.04*366.33,0)*3.53*4</f>
        <v>211.79999999999998</v>
      </c>
      <c r="H190" s="22">
        <f>ROUND(0.04*254.17,0)*3.53*4</f>
        <v>141.2</v>
      </c>
      <c r="I190" s="20"/>
      <c r="J190" s="20"/>
      <c r="K190" s="22"/>
      <c r="L190" s="22"/>
      <c r="M190" s="22"/>
      <c r="N190" s="22"/>
      <c r="O190" s="22"/>
      <c r="P190" s="22"/>
      <c r="Q190" s="20">
        <f t="shared" si="9"/>
        <v>875.4399999999998</v>
      </c>
      <c r="T190" s="81"/>
      <c r="U190" s="81"/>
      <c r="V190" s="81"/>
    </row>
    <row r="191" spans="1:17" ht="12.75">
      <c r="A191" s="73">
        <f t="shared" si="7"/>
        <v>184</v>
      </c>
      <c r="B191" s="9" t="s">
        <v>244</v>
      </c>
      <c r="C191" s="9">
        <v>21371</v>
      </c>
      <c r="D191" s="17">
        <v>3</v>
      </c>
      <c r="E191" s="22">
        <f>ROUND(0.04*521.42,0)*3.53*3</f>
        <v>222.39</v>
      </c>
      <c r="F191" s="22">
        <f>ROUND(0.04*409.08,0)*3.53*3</f>
        <v>169.44</v>
      </c>
      <c r="G191" s="22">
        <f>ROUND(0.04*366.33,0)*3.53*3</f>
        <v>158.85</v>
      </c>
      <c r="H191" s="22">
        <f>ROUND(0.04*254.17,0)*3.53*3</f>
        <v>105.89999999999999</v>
      </c>
      <c r="I191" s="20"/>
      <c r="J191" s="20"/>
      <c r="K191" s="22"/>
      <c r="L191" s="22"/>
      <c r="M191" s="22"/>
      <c r="N191" s="22"/>
      <c r="O191" s="22"/>
      <c r="P191" s="22"/>
      <c r="Q191" s="20">
        <f t="shared" si="9"/>
        <v>656.5799999999999</v>
      </c>
    </row>
    <row r="192" spans="1:17" ht="12.75">
      <c r="A192" s="73">
        <f t="shared" si="7"/>
        <v>185</v>
      </c>
      <c r="B192" s="47" t="s">
        <v>602</v>
      </c>
      <c r="C192" s="10"/>
      <c r="D192" s="45">
        <v>3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>
        <f t="shared" si="9"/>
        <v>0</v>
      </c>
    </row>
    <row r="193" spans="1:17" ht="12.75">
      <c r="A193" s="73">
        <f t="shared" si="7"/>
        <v>186</v>
      </c>
      <c r="B193" s="9" t="s">
        <v>245</v>
      </c>
      <c r="C193" s="9">
        <v>12219</v>
      </c>
      <c r="D193" s="17" t="s">
        <v>585</v>
      </c>
      <c r="E193" s="20">
        <v>262.27</v>
      </c>
      <c r="F193" s="20">
        <v>134.37</v>
      </c>
      <c r="G193" s="20"/>
      <c r="H193" s="20"/>
      <c r="I193" s="20"/>
      <c r="J193" s="20"/>
      <c r="K193" s="22"/>
      <c r="L193" s="20"/>
      <c r="M193" s="20"/>
      <c r="N193" s="20"/>
      <c r="O193" s="20"/>
      <c r="P193" s="20"/>
      <c r="Q193" s="20">
        <f t="shared" si="9"/>
        <v>396.64</v>
      </c>
    </row>
    <row r="194" spans="1:17" ht="12.75">
      <c r="A194" s="73">
        <f t="shared" si="7"/>
        <v>187</v>
      </c>
      <c r="B194" s="47" t="s">
        <v>603</v>
      </c>
      <c r="C194" s="10"/>
      <c r="D194" s="56">
        <v>1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>
        <f>E194+F194+G194+H194+I194+J194+K194+L194+M194+N194+O194+P194</f>
        <v>0</v>
      </c>
    </row>
    <row r="195" spans="1:17" ht="12.75">
      <c r="A195" s="73">
        <f t="shared" si="7"/>
        <v>188</v>
      </c>
      <c r="B195" s="9" t="s">
        <v>246</v>
      </c>
      <c r="C195" s="9">
        <v>21652</v>
      </c>
      <c r="D195" s="17">
        <v>2</v>
      </c>
      <c r="E195" s="22">
        <f>ROUND(0.04*521.42,0)*3.53*2</f>
        <v>148.26</v>
      </c>
      <c r="F195" s="22">
        <f>ROUND(0.04*409.08,0)*3.53*2</f>
        <v>112.96</v>
      </c>
      <c r="G195" s="22">
        <f>ROUND(0.04*366.33,0)*3.53*2</f>
        <v>105.89999999999999</v>
      </c>
      <c r="H195" s="22">
        <f>ROUND(0.04*254.17,0)*3.53*2</f>
        <v>70.6</v>
      </c>
      <c r="I195" s="22"/>
      <c r="J195" s="20"/>
      <c r="K195" s="22"/>
      <c r="L195" s="22"/>
      <c r="M195" s="22"/>
      <c r="N195" s="22"/>
      <c r="O195" s="22"/>
      <c r="P195" s="22"/>
      <c r="Q195" s="20">
        <f t="shared" si="9"/>
        <v>437.7199999999999</v>
      </c>
    </row>
    <row r="196" spans="1:17" ht="12.75">
      <c r="A196" s="84"/>
      <c r="B196" s="9" t="s">
        <v>725</v>
      </c>
      <c r="C196" s="83"/>
      <c r="D196" s="17" t="s">
        <v>585</v>
      </c>
      <c r="E196" s="22">
        <v>8456.34</v>
      </c>
      <c r="F196" s="20">
        <v>82431.59</v>
      </c>
      <c r="G196" s="20"/>
      <c r="H196" s="20"/>
      <c r="I196" s="22"/>
      <c r="J196" s="20"/>
      <c r="K196" s="22"/>
      <c r="L196" s="22"/>
      <c r="M196" s="22"/>
      <c r="N196" s="22"/>
      <c r="O196" s="22"/>
      <c r="P196" s="22"/>
      <c r="Q196" s="20"/>
    </row>
    <row r="197" spans="1:17" ht="12.75">
      <c r="A197" s="73">
        <f>A195+1</f>
        <v>189</v>
      </c>
      <c r="B197" s="10" t="s">
        <v>247</v>
      </c>
      <c r="C197" s="10">
        <v>21657</v>
      </c>
      <c r="D197" s="45">
        <v>2</v>
      </c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>
        <f t="shared" si="9"/>
        <v>0</v>
      </c>
    </row>
    <row r="198" spans="1:17" ht="12.75">
      <c r="A198" s="73">
        <f t="shared" si="7"/>
        <v>190</v>
      </c>
      <c r="B198" s="9" t="s">
        <v>248</v>
      </c>
      <c r="C198" s="9">
        <v>21215</v>
      </c>
      <c r="D198" s="17" t="s">
        <v>584</v>
      </c>
      <c r="E198" s="20"/>
      <c r="F198" s="20"/>
      <c r="G198" s="20"/>
      <c r="H198" s="20"/>
      <c r="I198" s="20"/>
      <c r="J198" s="20"/>
      <c r="K198" s="22"/>
      <c r="L198" s="20"/>
      <c r="M198" s="20"/>
      <c r="N198" s="20"/>
      <c r="O198" s="20"/>
      <c r="P198" s="20"/>
      <c r="Q198" s="20">
        <f t="shared" si="9"/>
        <v>0</v>
      </c>
    </row>
    <row r="199" spans="1:17" ht="12.75">
      <c r="A199" s="73">
        <f t="shared" si="7"/>
        <v>191</v>
      </c>
      <c r="B199" s="10" t="s">
        <v>596</v>
      </c>
      <c r="C199" s="10"/>
      <c r="D199" s="45">
        <v>2</v>
      </c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>
        <f t="shared" si="9"/>
        <v>0</v>
      </c>
    </row>
    <row r="200" spans="1:231" s="44" customFormat="1" ht="12.75">
      <c r="A200" s="73">
        <f t="shared" si="7"/>
        <v>192</v>
      </c>
      <c r="B200" s="10" t="s">
        <v>249</v>
      </c>
      <c r="C200" s="10">
        <v>21223</v>
      </c>
      <c r="D200" s="45">
        <v>2</v>
      </c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>
        <f t="shared" si="9"/>
        <v>0</v>
      </c>
      <c r="R200" s="34"/>
      <c r="S200" s="34"/>
      <c r="T200" s="34"/>
      <c r="U200" s="34"/>
      <c r="V200" s="34"/>
      <c r="W200" s="34"/>
      <c r="X200" s="34"/>
      <c r="Y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</row>
    <row r="201" spans="1:17" ht="12.75">
      <c r="A201" s="73">
        <f t="shared" si="7"/>
        <v>193</v>
      </c>
      <c r="B201" s="10" t="s">
        <v>250</v>
      </c>
      <c r="C201" s="10">
        <v>21229</v>
      </c>
      <c r="D201" s="56">
        <v>4</v>
      </c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>
        <f t="shared" si="9"/>
        <v>0</v>
      </c>
    </row>
    <row r="202" spans="1:17" ht="12.75">
      <c r="A202" s="73">
        <f t="shared" si="7"/>
        <v>194</v>
      </c>
      <c r="B202" s="9" t="s">
        <v>251</v>
      </c>
      <c r="C202" s="9">
        <v>21643</v>
      </c>
      <c r="D202" s="26" t="s">
        <v>587</v>
      </c>
      <c r="E202" s="20"/>
      <c r="F202" s="20"/>
      <c r="G202" s="20"/>
      <c r="H202" s="20"/>
      <c r="I202" s="20"/>
      <c r="J202" s="20"/>
      <c r="K202" s="22"/>
      <c r="L202" s="20"/>
      <c r="M202" s="20"/>
      <c r="N202" s="20"/>
      <c r="O202" s="20"/>
      <c r="P202" s="20"/>
      <c r="Q202" s="20">
        <f t="shared" si="9"/>
        <v>0</v>
      </c>
    </row>
    <row r="203" spans="1:231" s="44" customFormat="1" ht="12.75">
      <c r="A203" s="73">
        <f>A202+1</f>
        <v>195</v>
      </c>
      <c r="B203" s="9" t="s">
        <v>252</v>
      </c>
      <c r="C203" s="9">
        <v>21230</v>
      </c>
      <c r="D203" s="17">
        <v>2</v>
      </c>
      <c r="E203" s="22">
        <f>ROUND(0.04*521.42,0)*3.53*2</f>
        <v>148.26</v>
      </c>
      <c r="F203" s="22">
        <f>ROUND(0.04*409.08,0)*3.53*2</f>
        <v>112.96</v>
      </c>
      <c r="G203" s="22">
        <f>ROUND(0.04*366.33,0)*3.53*2</f>
        <v>105.89999999999999</v>
      </c>
      <c r="H203" s="22">
        <f>ROUND(0.04*254.17,0)*3.53*2</f>
        <v>70.6</v>
      </c>
      <c r="I203" s="22"/>
      <c r="J203" s="20"/>
      <c r="K203" s="22"/>
      <c r="L203" s="22"/>
      <c r="M203" s="22"/>
      <c r="N203" s="22"/>
      <c r="O203" s="22"/>
      <c r="P203" s="22"/>
      <c r="Q203" s="20">
        <f t="shared" si="9"/>
        <v>437.7199999999999</v>
      </c>
      <c r="R203" s="34"/>
      <c r="S203" s="34"/>
      <c r="T203" s="34"/>
      <c r="U203" s="34"/>
      <c r="V203" s="34"/>
      <c r="W203" s="34"/>
      <c r="X203" s="34"/>
      <c r="Y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</row>
    <row r="204" spans="1:17" ht="12.75">
      <c r="A204" s="73">
        <f>A203+1</f>
        <v>196</v>
      </c>
      <c r="B204" s="9" t="s">
        <v>253</v>
      </c>
      <c r="C204" s="9">
        <v>21859</v>
      </c>
      <c r="D204" s="17">
        <v>0</v>
      </c>
      <c r="E204" s="20"/>
      <c r="F204" s="20"/>
      <c r="G204" s="20"/>
      <c r="H204" s="20"/>
      <c r="I204" s="20"/>
      <c r="J204" s="20"/>
      <c r="K204" s="22"/>
      <c r="L204" s="20"/>
      <c r="M204" s="20"/>
      <c r="N204" s="20"/>
      <c r="O204" s="20"/>
      <c r="P204" s="20"/>
      <c r="Q204" s="20">
        <f t="shared" si="9"/>
        <v>0</v>
      </c>
    </row>
    <row r="205" spans="1:17" ht="12.75">
      <c r="A205" s="73">
        <f>A204+1</f>
        <v>197</v>
      </c>
      <c r="B205" s="10" t="s">
        <v>254</v>
      </c>
      <c r="C205" s="10">
        <v>21239</v>
      </c>
      <c r="D205" s="45">
        <v>4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>
        <f t="shared" si="9"/>
        <v>0</v>
      </c>
    </row>
    <row r="206" spans="1:17" ht="12.75">
      <c r="A206" s="73">
        <f aca="true" t="shared" si="10" ref="A206:A267">A205+1</f>
        <v>198</v>
      </c>
      <c r="B206" s="9" t="s">
        <v>255</v>
      </c>
      <c r="C206" s="9">
        <v>21241</v>
      </c>
      <c r="D206" s="17">
        <v>6</v>
      </c>
      <c r="E206" s="22">
        <f>ROUND(0.04*521.42,0)*3.53*6</f>
        <v>444.78</v>
      </c>
      <c r="F206" s="22">
        <f>ROUND(0.04*409.08,0)*3.53*6</f>
        <v>338.88</v>
      </c>
      <c r="G206" s="22">
        <f>ROUND(0.04*366.33,0)*3.53*6</f>
        <v>317.7</v>
      </c>
      <c r="H206" s="22">
        <f>ROUND(0.04*254.17,0)*3.53*6</f>
        <v>211.79999999999998</v>
      </c>
      <c r="I206" s="20"/>
      <c r="J206" s="20"/>
      <c r="K206" s="22"/>
      <c r="L206" s="22"/>
      <c r="M206" s="22"/>
      <c r="N206" s="22"/>
      <c r="O206" s="22"/>
      <c r="P206" s="22"/>
      <c r="Q206" s="20">
        <f t="shared" si="9"/>
        <v>1313.1599999999999</v>
      </c>
    </row>
    <row r="207" spans="1:231" s="44" customFormat="1" ht="12.75">
      <c r="A207" s="73">
        <f t="shared" si="10"/>
        <v>199</v>
      </c>
      <c r="B207" s="9" t="s">
        <v>256</v>
      </c>
      <c r="C207" s="9">
        <v>21242</v>
      </c>
      <c r="D207" s="17">
        <v>2</v>
      </c>
      <c r="E207" s="22">
        <f>ROUND(0.04*521.42,0)*3.53*2</f>
        <v>148.26</v>
      </c>
      <c r="F207" s="22">
        <f>ROUND(0.04*409.08,0)*3.53*2</f>
        <v>112.96</v>
      </c>
      <c r="G207" s="22">
        <f>ROUND(0.04*366.33,0)*3.53*2</f>
        <v>105.89999999999999</v>
      </c>
      <c r="H207" s="22">
        <f>ROUND(0.04*254.17,0)*3.53*2</f>
        <v>70.6</v>
      </c>
      <c r="I207" s="22"/>
      <c r="J207" s="20"/>
      <c r="K207" s="22"/>
      <c r="L207" s="22"/>
      <c r="M207" s="22"/>
      <c r="N207" s="22"/>
      <c r="O207" s="22"/>
      <c r="P207" s="22"/>
      <c r="Q207" s="20">
        <f t="shared" si="9"/>
        <v>437.7199999999999</v>
      </c>
      <c r="R207" s="34"/>
      <c r="S207" s="34"/>
      <c r="T207" s="34"/>
      <c r="U207" s="34"/>
      <c r="V207" s="34"/>
      <c r="W207" s="34"/>
      <c r="X207" s="34"/>
      <c r="Y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</row>
    <row r="208" spans="1:17" ht="12.75">
      <c r="A208" s="73">
        <f t="shared" si="10"/>
        <v>200</v>
      </c>
      <c r="B208" s="47" t="s">
        <v>604</v>
      </c>
      <c r="C208" s="10"/>
      <c r="D208" s="45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>
        <f t="shared" si="9"/>
        <v>0</v>
      </c>
    </row>
    <row r="209" spans="1:231" s="44" customFormat="1" ht="12.75">
      <c r="A209" s="73">
        <f t="shared" si="10"/>
        <v>201</v>
      </c>
      <c r="B209" s="9" t="s">
        <v>257</v>
      </c>
      <c r="C209" s="9">
        <v>21232</v>
      </c>
      <c r="D209" s="17" t="s">
        <v>585</v>
      </c>
      <c r="E209" s="20">
        <v>172.06</v>
      </c>
      <c r="F209" s="20">
        <v>158.54</v>
      </c>
      <c r="G209" s="20"/>
      <c r="H209" s="20"/>
      <c r="I209" s="20"/>
      <c r="J209" s="20"/>
      <c r="K209" s="22"/>
      <c r="L209" s="20"/>
      <c r="M209" s="20"/>
      <c r="N209" s="20"/>
      <c r="O209" s="20"/>
      <c r="P209" s="20"/>
      <c r="Q209" s="20">
        <f t="shared" si="9"/>
        <v>330.6</v>
      </c>
      <c r="R209" s="34"/>
      <c r="S209" s="34"/>
      <c r="T209" s="34"/>
      <c r="U209" s="34"/>
      <c r="V209" s="34"/>
      <c r="W209" s="34"/>
      <c r="X209" s="34"/>
      <c r="Y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</row>
    <row r="210" spans="1:231" s="44" customFormat="1" ht="12.75">
      <c r="A210" s="73">
        <f t="shared" si="10"/>
        <v>202</v>
      </c>
      <c r="B210" s="9" t="s">
        <v>258</v>
      </c>
      <c r="C210" s="9">
        <v>21233</v>
      </c>
      <c r="D210" s="17" t="s">
        <v>585</v>
      </c>
      <c r="E210" s="20">
        <v>314.89</v>
      </c>
      <c r="F210" s="20">
        <v>305.65</v>
      </c>
      <c r="G210" s="20"/>
      <c r="H210" s="20"/>
      <c r="I210" s="20"/>
      <c r="J210" s="20"/>
      <c r="K210" s="22"/>
      <c r="L210" s="20"/>
      <c r="M210" s="20"/>
      <c r="N210" s="20"/>
      <c r="O210" s="20"/>
      <c r="P210" s="20"/>
      <c r="Q210" s="20">
        <f t="shared" si="9"/>
        <v>620.54</v>
      </c>
      <c r="R210" s="34"/>
      <c r="S210" s="34"/>
      <c r="T210" s="34"/>
      <c r="U210" s="34"/>
      <c r="V210" s="34"/>
      <c r="W210" s="34"/>
      <c r="X210" s="34"/>
      <c r="Y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</row>
    <row r="211" spans="1:17" ht="12.75">
      <c r="A211" s="73">
        <f t="shared" si="10"/>
        <v>203</v>
      </c>
      <c r="B211" s="10" t="s">
        <v>259</v>
      </c>
      <c r="C211" s="10">
        <v>21234</v>
      </c>
      <c r="D211" s="45">
        <v>0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>
        <f t="shared" si="9"/>
        <v>0</v>
      </c>
    </row>
    <row r="212" spans="1:17" ht="12.75">
      <c r="A212" s="73">
        <f t="shared" si="10"/>
        <v>204</v>
      </c>
      <c r="B212" s="9" t="s">
        <v>260</v>
      </c>
      <c r="C212" s="9">
        <v>21235</v>
      </c>
      <c r="D212" s="17" t="s">
        <v>585</v>
      </c>
      <c r="E212" s="20">
        <v>856.95</v>
      </c>
      <c r="F212" s="20">
        <v>844.16</v>
      </c>
      <c r="G212" s="20"/>
      <c r="H212" s="20"/>
      <c r="I212" s="20"/>
      <c r="J212" s="20"/>
      <c r="K212" s="22"/>
      <c r="L212" s="20"/>
      <c r="M212" s="20"/>
      <c r="N212" s="20"/>
      <c r="O212" s="20"/>
      <c r="P212" s="20"/>
      <c r="Q212" s="20">
        <f t="shared" si="9"/>
        <v>1701.1100000000001</v>
      </c>
    </row>
    <row r="213" spans="1:17" ht="12.75">
      <c r="A213" s="73">
        <f t="shared" si="10"/>
        <v>205</v>
      </c>
      <c r="B213" s="9" t="s">
        <v>261</v>
      </c>
      <c r="C213" s="9">
        <v>21236</v>
      </c>
      <c r="D213" s="17">
        <v>1</v>
      </c>
      <c r="E213" s="22">
        <f>ROUND(0.04*521.42,0)*3.53</f>
        <v>74.13</v>
      </c>
      <c r="F213" s="22">
        <f>ROUND(0.04*409.08,0)*3.53</f>
        <v>56.48</v>
      </c>
      <c r="G213" s="22">
        <f>ROUND(0.04*366.33,0)*3.53</f>
        <v>52.949999999999996</v>
      </c>
      <c r="H213" s="22">
        <f>ROUND(0.04*254.17,0)*3.53</f>
        <v>35.3</v>
      </c>
      <c r="I213" s="20"/>
      <c r="J213" s="20"/>
      <c r="K213" s="22"/>
      <c r="L213" s="22"/>
      <c r="M213" s="22"/>
      <c r="N213" s="22"/>
      <c r="O213" s="22"/>
      <c r="P213" s="22"/>
      <c r="Q213" s="20">
        <f t="shared" si="9"/>
        <v>218.85999999999996</v>
      </c>
    </row>
    <row r="214" spans="1:231" s="44" customFormat="1" ht="12.75">
      <c r="A214" s="73">
        <f t="shared" si="10"/>
        <v>206</v>
      </c>
      <c r="B214" s="9" t="s">
        <v>262</v>
      </c>
      <c r="C214" s="9">
        <v>21249</v>
      </c>
      <c r="D214" s="17" t="s">
        <v>585</v>
      </c>
      <c r="E214" s="20">
        <v>118.71</v>
      </c>
      <c r="F214" s="20">
        <v>107.33</v>
      </c>
      <c r="G214" s="20"/>
      <c r="H214" s="20"/>
      <c r="I214" s="20"/>
      <c r="J214" s="20"/>
      <c r="K214" s="22"/>
      <c r="L214" s="20"/>
      <c r="M214" s="20"/>
      <c r="N214" s="20"/>
      <c r="O214" s="20"/>
      <c r="P214" s="20"/>
      <c r="Q214" s="20">
        <f t="shared" si="9"/>
        <v>226.04</v>
      </c>
      <c r="R214" s="34"/>
      <c r="S214" s="34"/>
      <c r="T214" s="34"/>
      <c r="U214" s="34"/>
      <c r="V214" s="34"/>
      <c r="W214" s="34"/>
      <c r="X214" s="34"/>
      <c r="Y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</row>
    <row r="215" spans="1:17" ht="12.75">
      <c r="A215" s="73">
        <f t="shared" si="10"/>
        <v>207</v>
      </c>
      <c r="B215" s="10" t="s">
        <v>263</v>
      </c>
      <c r="C215" s="10">
        <v>12059</v>
      </c>
      <c r="D215" s="45">
        <v>0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>
        <f t="shared" si="9"/>
        <v>0</v>
      </c>
    </row>
    <row r="216" spans="1:17" ht="12.75">
      <c r="A216" s="73">
        <f t="shared" si="10"/>
        <v>208</v>
      </c>
      <c r="B216" s="10" t="s">
        <v>264</v>
      </c>
      <c r="C216" s="10">
        <v>21381</v>
      </c>
      <c r="D216" s="45">
        <v>0</v>
      </c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>
        <f t="shared" si="9"/>
        <v>0</v>
      </c>
    </row>
    <row r="217" spans="1:17" ht="12.75">
      <c r="A217" s="73">
        <f t="shared" si="10"/>
        <v>209</v>
      </c>
      <c r="B217" s="9" t="s">
        <v>265</v>
      </c>
      <c r="C217" s="9">
        <v>21392</v>
      </c>
      <c r="D217" s="17">
        <v>2</v>
      </c>
      <c r="E217" s="22">
        <f>ROUND(0.04*521.42,0)*3.53*2</f>
        <v>148.26</v>
      </c>
      <c r="F217" s="22">
        <f>ROUND(0.04*409.08,0)*3.53*2</f>
        <v>112.96</v>
      </c>
      <c r="G217" s="22">
        <f>ROUND(0.04*366.33,0)*3.53*2</f>
        <v>105.89999999999999</v>
      </c>
      <c r="H217" s="22">
        <f>ROUND(0.04*254.17,0)*3.53*2</f>
        <v>70.6</v>
      </c>
      <c r="I217" s="22"/>
      <c r="J217" s="20"/>
      <c r="K217" s="22"/>
      <c r="L217" s="22"/>
      <c r="M217" s="22"/>
      <c r="N217" s="22"/>
      <c r="O217" s="22"/>
      <c r="P217" s="22"/>
      <c r="Q217" s="20">
        <f t="shared" si="9"/>
        <v>437.7199999999999</v>
      </c>
    </row>
    <row r="218" spans="1:231" s="44" customFormat="1" ht="12.75">
      <c r="A218" s="73">
        <f t="shared" si="10"/>
        <v>210</v>
      </c>
      <c r="B218" s="9" t="s">
        <v>266</v>
      </c>
      <c r="C218" s="9">
        <v>21391</v>
      </c>
      <c r="D218" s="17">
        <v>2</v>
      </c>
      <c r="E218" s="22">
        <f>ROUND(0.04*521.42,0)*3.53*2</f>
        <v>148.26</v>
      </c>
      <c r="F218" s="22">
        <f>ROUND(0.04*409.08,0)*3.53*2</f>
        <v>112.96</v>
      </c>
      <c r="G218" s="22">
        <f>ROUND(0.04*366.33,0)*3.53*2</f>
        <v>105.89999999999999</v>
      </c>
      <c r="H218" s="22">
        <f>ROUND(0.04*254.17,0)*3.53*2</f>
        <v>70.6</v>
      </c>
      <c r="I218" s="22"/>
      <c r="J218" s="20"/>
      <c r="K218" s="22"/>
      <c r="L218" s="22"/>
      <c r="M218" s="22"/>
      <c r="N218" s="22"/>
      <c r="O218" s="22"/>
      <c r="P218" s="22"/>
      <c r="Q218" s="20">
        <f t="shared" si="9"/>
        <v>437.7199999999999</v>
      </c>
      <c r="R218" s="34"/>
      <c r="S218" s="34"/>
      <c r="T218" s="34"/>
      <c r="U218" s="34"/>
      <c r="V218" s="34"/>
      <c r="W218" s="34"/>
      <c r="X218" s="34"/>
      <c r="Y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</row>
    <row r="219" spans="1:17" ht="12.75">
      <c r="A219" s="73">
        <f t="shared" si="10"/>
        <v>211</v>
      </c>
      <c r="B219" s="9" t="s">
        <v>267</v>
      </c>
      <c r="C219" s="9">
        <v>21250</v>
      </c>
      <c r="D219" s="17" t="s">
        <v>585</v>
      </c>
      <c r="E219" s="20">
        <v>92.02</v>
      </c>
      <c r="F219" s="20">
        <v>87.74</v>
      </c>
      <c r="G219" s="20"/>
      <c r="H219" s="20"/>
      <c r="I219" s="20"/>
      <c r="J219" s="20"/>
      <c r="K219" s="22"/>
      <c r="L219" s="20"/>
      <c r="M219" s="20"/>
      <c r="N219" s="20"/>
      <c r="O219" s="20"/>
      <c r="P219" s="20"/>
      <c r="Q219" s="20">
        <f t="shared" si="9"/>
        <v>179.76</v>
      </c>
    </row>
    <row r="220" spans="1:17" ht="12.75">
      <c r="A220" s="73">
        <f t="shared" si="10"/>
        <v>212</v>
      </c>
      <c r="B220" s="9" t="s">
        <v>268</v>
      </c>
      <c r="C220" s="9">
        <v>21251</v>
      </c>
      <c r="D220" s="17" t="s">
        <v>585</v>
      </c>
      <c r="E220" s="20">
        <v>611.35</v>
      </c>
      <c r="F220" s="20">
        <v>595.69</v>
      </c>
      <c r="G220" s="20"/>
      <c r="H220" s="20"/>
      <c r="I220" s="20"/>
      <c r="J220" s="20"/>
      <c r="K220" s="22"/>
      <c r="L220" s="20"/>
      <c r="M220" s="20"/>
      <c r="N220" s="20"/>
      <c r="O220" s="20"/>
      <c r="P220" s="20"/>
      <c r="Q220" s="20">
        <f t="shared" si="9"/>
        <v>1207.04</v>
      </c>
    </row>
    <row r="221" spans="1:231" s="44" customFormat="1" ht="12.75">
      <c r="A221" s="73">
        <f t="shared" si="10"/>
        <v>213</v>
      </c>
      <c r="B221" s="9" t="s">
        <v>269</v>
      </c>
      <c r="C221" s="9">
        <v>21252</v>
      </c>
      <c r="D221" s="17" t="s">
        <v>585</v>
      </c>
      <c r="E221" s="20">
        <v>2370.28</v>
      </c>
      <c r="F221" s="20">
        <v>670.87</v>
      </c>
      <c r="G221" s="20"/>
      <c r="H221" s="20"/>
      <c r="I221" s="20"/>
      <c r="J221" s="20"/>
      <c r="K221" s="22"/>
      <c r="L221" s="20"/>
      <c r="M221" s="20"/>
      <c r="N221" s="20"/>
      <c r="O221" s="20"/>
      <c r="P221" s="20"/>
      <c r="Q221" s="20">
        <f t="shared" si="9"/>
        <v>3041.15</v>
      </c>
      <c r="R221" s="34"/>
      <c r="S221" s="34"/>
      <c r="T221" s="34"/>
      <c r="U221" s="34"/>
      <c r="V221" s="34"/>
      <c r="W221" s="34"/>
      <c r="X221" s="34"/>
      <c r="Y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</row>
    <row r="222" spans="1:17" ht="12.75">
      <c r="A222" s="73">
        <f t="shared" si="10"/>
        <v>214</v>
      </c>
      <c r="B222" s="9" t="s">
        <v>270</v>
      </c>
      <c r="C222" s="9">
        <v>21253</v>
      </c>
      <c r="D222" s="17" t="s">
        <v>585</v>
      </c>
      <c r="E222" s="20">
        <v>196.18</v>
      </c>
      <c r="F222" s="20">
        <v>173.42</v>
      </c>
      <c r="G222" s="20"/>
      <c r="H222" s="20"/>
      <c r="I222" s="20"/>
      <c r="J222" s="20"/>
      <c r="K222" s="22"/>
      <c r="L222" s="20"/>
      <c r="M222" s="20"/>
      <c r="N222" s="20"/>
      <c r="O222" s="20"/>
      <c r="P222" s="20"/>
      <c r="Q222" s="20">
        <f t="shared" si="9"/>
        <v>369.6</v>
      </c>
    </row>
    <row r="223" spans="1:17" ht="12.75">
      <c r="A223" s="73">
        <f t="shared" si="10"/>
        <v>215</v>
      </c>
      <c r="B223" s="9" t="s">
        <v>271</v>
      </c>
      <c r="C223" s="9">
        <v>21000</v>
      </c>
      <c r="D223" s="17" t="s">
        <v>586</v>
      </c>
      <c r="E223" s="20">
        <v>2280.13</v>
      </c>
      <c r="F223" s="20">
        <v>2280.13</v>
      </c>
      <c r="G223" s="20"/>
      <c r="H223" s="20"/>
      <c r="I223" s="20"/>
      <c r="J223" s="20"/>
      <c r="K223" s="22"/>
      <c r="L223" s="20"/>
      <c r="M223" s="20"/>
      <c r="N223" s="20"/>
      <c r="O223" s="20"/>
      <c r="P223" s="20"/>
      <c r="Q223" s="20">
        <f t="shared" si="9"/>
        <v>4560.26</v>
      </c>
    </row>
    <row r="224" spans="1:17" ht="12.75">
      <c r="A224" s="73">
        <f t="shared" si="10"/>
        <v>216</v>
      </c>
      <c r="B224" s="9" t="s">
        <v>272</v>
      </c>
      <c r="C224" s="9">
        <v>21255</v>
      </c>
      <c r="D224" s="17" t="s">
        <v>585</v>
      </c>
      <c r="E224" s="20">
        <v>487.58</v>
      </c>
      <c r="F224" s="20">
        <v>474.79</v>
      </c>
      <c r="G224" s="20"/>
      <c r="H224" s="20"/>
      <c r="I224" s="20"/>
      <c r="J224" s="20"/>
      <c r="K224" s="22"/>
      <c r="L224" s="20"/>
      <c r="M224" s="20"/>
      <c r="N224" s="20"/>
      <c r="O224" s="20"/>
      <c r="P224" s="20"/>
      <c r="Q224" s="20">
        <f t="shared" si="9"/>
        <v>962.37</v>
      </c>
    </row>
    <row r="225" spans="1:17" ht="12.75">
      <c r="A225" s="73">
        <f t="shared" si="10"/>
        <v>217</v>
      </c>
      <c r="B225" s="9" t="s">
        <v>273</v>
      </c>
      <c r="C225" s="9">
        <v>21256</v>
      </c>
      <c r="D225" s="17" t="s">
        <v>585</v>
      </c>
      <c r="E225" s="20">
        <v>631.87</v>
      </c>
      <c r="F225" s="20">
        <v>634.01</v>
      </c>
      <c r="G225" s="20"/>
      <c r="H225" s="20"/>
      <c r="I225" s="20"/>
      <c r="J225" s="20"/>
      <c r="K225" s="22"/>
      <c r="L225" s="20"/>
      <c r="M225" s="20"/>
      <c r="N225" s="20"/>
      <c r="O225" s="20"/>
      <c r="P225" s="20"/>
      <c r="Q225" s="20">
        <f t="shared" si="9"/>
        <v>1265.88</v>
      </c>
    </row>
    <row r="226" spans="1:17" ht="12.75">
      <c r="A226" s="73">
        <f t="shared" si="10"/>
        <v>218</v>
      </c>
      <c r="B226" s="9" t="s">
        <v>310</v>
      </c>
      <c r="C226" s="9">
        <v>31001</v>
      </c>
      <c r="D226" s="17" t="s">
        <v>586</v>
      </c>
      <c r="E226" s="20">
        <v>10610.74</v>
      </c>
      <c r="F226" s="20">
        <v>10610.74</v>
      </c>
      <c r="G226" s="20"/>
      <c r="H226" s="20"/>
      <c r="I226" s="20"/>
      <c r="J226" s="20"/>
      <c r="K226" s="22"/>
      <c r="L226" s="20"/>
      <c r="M226" s="20"/>
      <c r="N226" s="20"/>
      <c r="O226" s="20"/>
      <c r="P226" s="20"/>
      <c r="Q226" s="20">
        <f t="shared" si="9"/>
        <v>21221.48</v>
      </c>
    </row>
    <row r="227" spans="1:17" ht="12.75">
      <c r="A227" s="73">
        <f t="shared" si="10"/>
        <v>219</v>
      </c>
      <c r="B227" s="9" t="s">
        <v>311</v>
      </c>
      <c r="C227" s="9">
        <v>21257</v>
      </c>
      <c r="D227" s="17" t="s">
        <v>713</v>
      </c>
      <c r="E227" s="20">
        <v>567.24</v>
      </c>
      <c r="F227" s="20">
        <v>548.76</v>
      </c>
      <c r="G227" s="20"/>
      <c r="H227" s="20"/>
      <c r="I227" s="20"/>
      <c r="J227" s="20"/>
      <c r="K227" s="22"/>
      <c r="L227" s="20"/>
      <c r="M227" s="20"/>
      <c r="N227" s="20"/>
      <c r="O227" s="20"/>
      <c r="P227" s="20"/>
      <c r="Q227" s="20">
        <f t="shared" si="9"/>
        <v>1116</v>
      </c>
    </row>
    <row r="228" spans="1:231" s="44" customFormat="1" ht="12.75">
      <c r="A228" s="73">
        <f t="shared" si="10"/>
        <v>220</v>
      </c>
      <c r="B228" s="9" t="s">
        <v>312</v>
      </c>
      <c r="C228" s="9">
        <v>21113</v>
      </c>
      <c r="D228" s="17">
        <v>22</v>
      </c>
      <c r="E228" s="22">
        <f>ROUND(0.04*521.42,0)*3.53*22</f>
        <v>1630.86</v>
      </c>
      <c r="F228" s="22">
        <f>ROUND(0.04*409.08,0)*3.53*22</f>
        <v>1242.56</v>
      </c>
      <c r="G228" s="22">
        <f>ROUND(0.04*366.33,0)*3.53*22</f>
        <v>1164.8999999999999</v>
      </c>
      <c r="H228" s="22">
        <f>ROUND(0.04*254.17,0)*3.53*22</f>
        <v>776.5999999999999</v>
      </c>
      <c r="I228" s="20"/>
      <c r="J228" s="20"/>
      <c r="K228" s="22"/>
      <c r="L228" s="22"/>
      <c r="M228" s="22"/>
      <c r="N228" s="22"/>
      <c r="O228" s="22"/>
      <c r="P228" s="22"/>
      <c r="Q228" s="20">
        <f aca="true" t="shared" si="11" ref="Q228:Q233">E228+F228+G228+H228+I228+J228+K228+L228+M228+N228+O228+P228</f>
        <v>4814.92</v>
      </c>
      <c r="R228" s="34"/>
      <c r="S228" s="34"/>
      <c r="T228" s="34"/>
      <c r="U228" s="34"/>
      <c r="V228" s="34"/>
      <c r="W228" s="34"/>
      <c r="X228" s="34"/>
      <c r="Y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</row>
    <row r="229" spans="1:231" s="44" customFormat="1" ht="12.75">
      <c r="A229" s="73">
        <f t="shared" si="10"/>
        <v>221</v>
      </c>
      <c r="B229" s="9" t="s">
        <v>313</v>
      </c>
      <c r="C229" s="9">
        <v>21116</v>
      </c>
      <c r="D229" s="17" t="s">
        <v>585</v>
      </c>
      <c r="E229" s="20">
        <v>599.24</v>
      </c>
      <c r="F229" s="20">
        <v>567.97</v>
      </c>
      <c r="G229" s="20"/>
      <c r="H229" s="20"/>
      <c r="I229" s="20"/>
      <c r="J229" s="20"/>
      <c r="K229" s="22"/>
      <c r="L229" s="20"/>
      <c r="M229" s="20"/>
      <c r="N229" s="20"/>
      <c r="O229" s="20"/>
      <c r="P229" s="20"/>
      <c r="Q229" s="20">
        <f t="shared" si="11"/>
        <v>1167.21</v>
      </c>
      <c r="R229" s="34"/>
      <c r="S229" s="34"/>
      <c r="T229" s="34"/>
      <c r="U229" s="34"/>
      <c r="V229" s="34"/>
      <c r="W229" s="34"/>
      <c r="X229" s="34"/>
      <c r="Y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</row>
    <row r="230" spans="1:231" s="44" customFormat="1" ht="12.75">
      <c r="A230" s="73">
        <f t="shared" si="10"/>
        <v>222</v>
      </c>
      <c r="B230" s="9" t="s">
        <v>314</v>
      </c>
      <c r="C230" s="9">
        <v>21114</v>
      </c>
      <c r="D230" s="17" t="s">
        <v>585</v>
      </c>
      <c r="E230" s="20">
        <v>446.49</v>
      </c>
      <c r="F230" s="20">
        <v>430.2</v>
      </c>
      <c r="G230" s="20"/>
      <c r="H230" s="20"/>
      <c r="I230" s="20"/>
      <c r="J230" s="20"/>
      <c r="K230" s="22"/>
      <c r="L230" s="20"/>
      <c r="M230" s="20"/>
      <c r="N230" s="20"/>
      <c r="O230" s="20"/>
      <c r="P230" s="20"/>
      <c r="Q230" s="20">
        <f t="shared" si="11"/>
        <v>876.69</v>
      </c>
      <c r="R230" s="34"/>
      <c r="S230" s="34"/>
      <c r="T230" s="34"/>
      <c r="U230" s="34"/>
      <c r="V230" s="34"/>
      <c r="W230" s="34"/>
      <c r="X230" s="34"/>
      <c r="Y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</row>
    <row r="231" spans="1:231" s="44" customFormat="1" ht="12.75">
      <c r="A231" s="73">
        <f t="shared" si="10"/>
        <v>223</v>
      </c>
      <c r="B231" s="9" t="s">
        <v>315</v>
      </c>
      <c r="C231" s="9">
        <v>21115</v>
      </c>
      <c r="D231" s="17" t="s">
        <v>585</v>
      </c>
      <c r="E231" s="20">
        <v>331.96</v>
      </c>
      <c r="F231" s="20">
        <v>415.17</v>
      </c>
      <c r="G231" s="20"/>
      <c r="H231" s="20"/>
      <c r="I231" s="20"/>
      <c r="J231" s="20"/>
      <c r="K231" s="22"/>
      <c r="L231" s="20"/>
      <c r="M231" s="20"/>
      <c r="N231" s="20"/>
      <c r="O231" s="20"/>
      <c r="P231" s="20"/>
      <c r="Q231" s="20">
        <f t="shared" si="11"/>
        <v>747.13</v>
      </c>
      <c r="R231" s="34"/>
      <c r="S231" s="34"/>
      <c r="T231" s="34"/>
      <c r="U231" s="34"/>
      <c r="V231" s="34"/>
      <c r="W231" s="34"/>
      <c r="X231" s="34"/>
      <c r="Y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</row>
    <row r="232" spans="1:17" ht="12.75">
      <c r="A232" s="73">
        <f t="shared" si="10"/>
        <v>224</v>
      </c>
      <c r="B232" s="9" t="s">
        <v>316</v>
      </c>
      <c r="C232" s="9">
        <v>21258</v>
      </c>
      <c r="D232" s="17" t="s">
        <v>585</v>
      </c>
      <c r="E232" s="20">
        <v>364.06</v>
      </c>
      <c r="F232" s="20">
        <v>347.67</v>
      </c>
      <c r="G232" s="20"/>
      <c r="H232" s="20"/>
      <c r="I232" s="20"/>
      <c r="J232" s="20"/>
      <c r="K232" s="22"/>
      <c r="L232" s="20"/>
      <c r="M232" s="20"/>
      <c r="N232" s="20"/>
      <c r="O232" s="20"/>
      <c r="P232" s="20"/>
      <c r="Q232" s="20">
        <f t="shared" si="11"/>
        <v>711.73</v>
      </c>
    </row>
    <row r="233" spans="1:17" ht="12.75">
      <c r="A233" s="73">
        <f t="shared" si="10"/>
        <v>225</v>
      </c>
      <c r="B233" s="9" t="s">
        <v>317</v>
      </c>
      <c r="C233" s="9">
        <v>21259</v>
      </c>
      <c r="D233" s="17" t="s">
        <v>585</v>
      </c>
      <c r="E233" s="20">
        <v>563.06</v>
      </c>
      <c r="F233" s="20">
        <v>545.99</v>
      </c>
      <c r="G233" s="20"/>
      <c r="H233" s="20"/>
      <c r="I233" s="20"/>
      <c r="J233" s="20"/>
      <c r="K233" s="22"/>
      <c r="L233" s="20"/>
      <c r="M233" s="20"/>
      <c r="N233" s="20"/>
      <c r="O233" s="20"/>
      <c r="P233" s="20"/>
      <c r="Q233" s="20">
        <f t="shared" si="11"/>
        <v>1109.05</v>
      </c>
    </row>
    <row r="234" spans="1:231" s="44" customFormat="1" ht="12.75">
      <c r="A234" s="73">
        <f t="shared" si="10"/>
        <v>226</v>
      </c>
      <c r="B234" s="9" t="s">
        <v>318</v>
      </c>
      <c r="C234" s="9">
        <v>21820</v>
      </c>
      <c r="D234" s="31" t="s">
        <v>588</v>
      </c>
      <c r="E234" s="20">
        <v>16151.5</v>
      </c>
      <c r="F234" s="20">
        <v>11676.28</v>
      </c>
      <c r="G234" s="20"/>
      <c r="H234" s="20"/>
      <c r="I234" s="20"/>
      <c r="J234" s="20"/>
      <c r="K234" s="22"/>
      <c r="L234" s="20"/>
      <c r="M234" s="20"/>
      <c r="N234" s="20"/>
      <c r="O234" s="20"/>
      <c r="P234" s="20"/>
      <c r="Q234" s="20">
        <f t="shared" si="9"/>
        <v>27827.78</v>
      </c>
      <c r="R234" s="34"/>
      <c r="S234" s="34"/>
      <c r="T234" s="34"/>
      <c r="U234" s="34"/>
      <c r="V234" s="34"/>
      <c r="W234" s="34"/>
      <c r="X234" s="34"/>
      <c r="Y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</row>
    <row r="235" spans="1:231" s="44" customFormat="1" ht="12.75">
      <c r="A235" s="73">
        <f t="shared" si="10"/>
        <v>227</v>
      </c>
      <c r="B235" s="9" t="s">
        <v>319</v>
      </c>
      <c r="C235" s="9">
        <v>21260</v>
      </c>
      <c r="D235" s="17" t="s">
        <v>585</v>
      </c>
      <c r="E235" s="20">
        <v>1519.06</v>
      </c>
      <c r="F235" s="20">
        <v>1498.44</v>
      </c>
      <c r="G235" s="20"/>
      <c r="H235" s="20"/>
      <c r="I235" s="20"/>
      <c r="J235" s="20"/>
      <c r="K235" s="22"/>
      <c r="L235" s="20"/>
      <c r="M235" s="20"/>
      <c r="N235" s="20"/>
      <c r="O235" s="20"/>
      <c r="P235" s="20"/>
      <c r="Q235" s="20">
        <f t="shared" si="9"/>
        <v>3017.5</v>
      </c>
      <c r="R235" s="34"/>
      <c r="S235" s="34"/>
      <c r="T235" s="34"/>
      <c r="U235" s="34"/>
      <c r="V235" s="34"/>
      <c r="W235" s="34"/>
      <c r="X235" s="34"/>
      <c r="Y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</row>
    <row r="236" spans="1:17" ht="12.75">
      <c r="A236" s="73">
        <f t="shared" si="10"/>
        <v>228</v>
      </c>
      <c r="B236" s="9" t="s">
        <v>320</v>
      </c>
      <c r="C236" s="9">
        <v>21261</v>
      </c>
      <c r="D236" s="17" t="s">
        <v>585</v>
      </c>
      <c r="E236" s="20">
        <v>1316.74</v>
      </c>
      <c r="F236" s="20">
        <v>1301.81</v>
      </c>
      <c r="G236" s="20"/>
      <c r="H236" s="20"/>
      <c r="I236" s="20"/>
      <c r="J236" s="20"/>
      <c r="K236" s="22"/>
      <c r="L236" s="20"/>
      <c r="M236" s="20"/>
      <c r="N236" s="20"/>
      <c r="O236" s="20"/>
      <c r="P236" s="20"/>
      <c r="Q236" s="20">
        <f t="shared" si="9"/>
        <v>2618.55</v>
      </c>
    </row>
    <row r="237" spans="1:231" s="44" customFormat="1" ht="12.75">
      <c r="A237" s="73">
        <f t="shared" si="10"/>
        <v>229</v>
      </c>
      <c r="B237" s="9" t="s">
        <v>321</v>
      </c>
      <c r="C237" s="9">
        <v>21262</v>
      </c>
      <c r="D237" s="17" t="s">
        <v>585</v>
      </c>
      <c r="E237" s="20">
        <v>1420.77</v>
      </c>
      <c r="F237" s="20">
        <v>1403.7</v>
      </c>
      <c r="G237" s="20"/>
      <c r="H237" s="20"/>
      <c r="I237" s="20"/>
      <c r="J237" s="20"/>
      <c r="K237" s="22"/>
      <c r="L237" s="20"/>
      <c r="M237" s="20"/>
      <c r="N237" s="20"/>
      <c r="O237" s="20"/>
      <c r="P237" s="20"/>
      <c r="Q237" s="20">
        <f t="shared" si="9"/>
        <v>2824.4700000000003</v>
      </c>
      <c r="R237" s="34"/>
      <c r="S237" s="34"/>
      <c r="T237" s="34"/>
      <c r="U237" s="34"/>
      <c r="V237" s="34"/>
      <c r="W237" s="34"/>
      <c r="X237" s="34"/>
      <c r="Y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</row>
    <row r="238" spans="1:231" s="44" customFormat="1" ht="12.75">
      <c r="A238" s="73">
        <f t="shared" si="10"/>
        <v>230</v>
      </c>
      <c r="B238" s="9" t="s">
        <v>322</v>
      </c>
      <c r="C238" s="9">
        <v>21395</v>
      </c>
      <c r="D238" s="17">
        <v>0</v>
      </c>
      <c r="E238" s="20"/>
      <c r="F238" s="20"/>
      <c r="G238" s="20"/>
      <c r="H238" s="20"/>
      <c r="I238" s="20"/>
      <c r="J238" s="20"/>
      <c r="K238" s="22"/>
      <c r="L238" s="20"/>
      <c r="M238" s="20"/>
      <c r="N238" s="20"/>
      <c r="O238" s="20"/>
      <c r="P238" s="20"/>
      <c r="Q238" s="20">
        <f t="shared" si="9"/>
        <v>0</v>
      </c>
      <c r="R238" s="34"/>
      <c r="S238" s="34"/>
      <c r="T238" s="34"/>
      <c r="U238" s="34"/>
      <c r="V238" s="34"/>
      <c r="W238" s="34"/>
      <c r="X238" s="34"/>
      <c r="Y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</row>
    <row r="239" spans="1:17" ht="12.75">
      <c r="A239" s="73">
        <f t="shared" si="10"/>
        <v>231</v>
      </c>
      <c r="B239" s="10" t="s">
        <v>323</v>
      </c>
      <c r="C239" s="10"/>
      <c r="D239" s="45" t="s">
        <v>584</v>
      </c>
      <c r="E239" s="46"/>
      <c r="F239" s="43"/>
      <c r="G239" s="43"/>
      <c r="H239" s="43"/>
      <c r="I239" s="43"/>
      <c r="J239" s="43"/>
      <c r="K239" s="43"/>
      <c r="L239" s="43"/>
      <c r="M239" s="46"/>
      <c r="N239" s="46"/>
      <c r="O239" s="46"/>
      <c r="P239" s="46"/>
      <c r="Q239" s="43">
        <f t="shared" si="9"/>
        <v>0</v>
      </c>
    </row>
    <row r="240" spans="1:17" ht="12.75">
      <c r="A240" s="73">
        <f t="shared" si="10"/>
        <v>232</v>
      </c>
      <c r="B240" s="9" t="s">
        <v>324</v>
      </c>
      <c r="C240" s="9">
        <v>12224</v>
      </c>
      <c r="D240" s="17">
        <v>2</v>
      </c>
      <c r="E240" s="22">
        <f>ROUND(0.04*521.42,0)*3.53*2</f>
        <v>148.26</v>
      </c>
      <c r="F240" s="22">
        <f>ROUND(0.04*409.08,0)*3.53*2</f>
        <v>112.96</v>
      </c>
      <c r="G240" s="22">
        <f>ROUND(0.04*366.33,0)*3.53*2</f>
        <v>105.89999999999999</v>
      </c>
      <c r="H240" s="22">
        <f>ROUND(0.04*254.17,0)*3.53*2</f>
        <v>70.6</v>
      </c>
      <c r="I240" s="22"/>
      <c r="J240" s="20"/>
      <c r="K240" s="22"/>
      <c r="L240" s="22"/>
      <c r="M240" s="22"/>
      <c r="N240" s="22"/>
      <c r="O240" s="22"/>
      <c r="P240" s="22"/>
      <c r="Q240" s="20">
        <f t="shared" si="9"/>
        <v>437.7199999999999</v>
      </c>
    </row>
    <row r="241" spans="1:17" ht="12.75">
      <c r="A241" s="73">
        <f t="shared" si="10"/>
        <v>233</v>
      </c>
      <c r="B241" s="9" t="s">
        <v>325</v>
      </c>
      <c r="C241" s="9">
        <v>12233</v>
      </c>
      <c r="D241" s="17">
        <v>2</v>
      </c>
      <c r="E241" s="22">
        <f>ROUND(0.04*521.42,0)*3.53*2</f>
        <v>148.26</v>
      </c>
      <c r="F241" s="22">
        <f>ROUND(0.04*409.08,0)*3.53*2</f>
        <v>112.96</v>
      </c>
      <c r="G241" s="22">
        <f>ROUND(0.04*366.33,0)*3.53*2</f>
        <v>105.89999999999999</v>
      </c>
      <c r="H241" s="22">
        <f>ROUND(0.04*254.17,0)*3.53*2</f>
        <v>70.6</v>
      </c>
      <c r="I241" s="22"/>
      <c r="J241" s="20"/>
      <c r="K241" s="22"/>
      <c r="L241" s="22"/>
      <c r="M241" s="22"/>
      <c r="N241" s="22"/>
      <c r="O241" s="22"/>
      <c r="P241" s="22"/>
      <c r="Q241" s="20">
        <f t="shared" si="9"/>
        <v>437.7199999999999</v>
      </c>
    </row>
    <row r="242" spans="1:17" ht="12.75">
      <c r="A242" s="73">
        <f t="shared" si="10"/>
        <v>234</v>
      </c>
      <c r="B242" s="10" t="s">
        <v>326</v>
      </c>
      <c r="C242" s="10">
        <v>12228</v>
      </c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>
        <f t="shared" si="9"/>
        <v>0</v>
      </c>
    </row>
    <row r="243" spans="1:17" ht="12.75">
      <c r="A243" s="73">
        <f t="shared" si="10"/>
        <v>235</v>
      </c>
      <c r="B243" s="9" t="s">
        <v>327</v>
      </c>
      <c r="C243" s="9">
        <v>12231</v>
      </c>
      <c r="D243" s="17">
        <v>2</v>
      </c>
      <c r="E243" s="22">
        <f>ROUND(0.04*521.42,0)*3.53*2</f>
        <v>148.26</v>
      </c>
      <c r="F243" s="22">
        <f>ROUND(0.04*409.08,0)*3.53*2</f>
        <v>112.96</v>
      </c>
      <c r="G243" s="22">
        <f>ROUND(0.04*366.33,0)*3.53*2</f>
        <v>105.89999999999999</v>
      </c>
      <c r="H243" s="22">
        <f>ROUND(0.04*254.17,0)*3.53*2</f>
        <v>70.6</v>
      </c>
      <c r="I243" s="22"/>
      <c r="J243" s="20"/>
      <c r="K243" s="22"/>
      <c r="L243" s="22"/>
      <c r="M243" s="22"/>
      <c r="N243" s="22"/>
      <c r="O243" s="22"/>
      <c r="P243" s="22"/>
      <c r="Q243" s="20">
        <f aca="true" t="shared" si="12" ref="Q243:Q307">E243+F243+G243+H243+I243+J243+K243+L243+M243+N243+O243+P243</f>
        <v>437.7199999999999</v>
      </c>
    </row>
    <row r="244" spans="1:17" ht="12.75">
      <c r="A244" s="73">
        <f t="shared" si="10"/>
        <v>236</v>
      </c>
      <c r="B244" s="10" t="s">
        <v>328</v>
      </c>
      <c r="C244" s="10">
        <v>12239</v>
      </c>
      <c r="D244" s="45">
        <v>10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>
        <f t="shared" si="12"/>
        <v>0</v>
      </c>
    </row>
    <row r="245" spans="1:17" ht="12.75">
      <c r="A245" s="73">
        <f t="shared" si="10"/>
        <v>237</v>
      </c>
      <c r="B245" s="9" t="s">
        <v>329</v>
      </c>
      <c r="C245" s="9">
        <v>12240</v>
      </c>
      <c r="D245" s="17">
        <v>10</v>
      </c>
      <c r="E245" s="22">
        <f>ROUND(0.04*521.42,0)*3.53*10</f>
        <v>741.3</v>
      </c>
      <c r="F245" s="22">
        <f>ROUND(0.04*409.08,0)*3.53*10</f>
        <v>564.8</v>
      </c>
      <c r="G245" s="22">
        <f>ROUND(0.04*366.33,0)*3.53*10</f>
        <v>529.5</v>
      </c>
      <c r="H245" s="22">
        <f>ROUND(0.04*254.17,0)*3.53*10</f>
        <v>353</v>
      </c>
      <c r="I245" s="20"/>
      <c r="J245" s="20"/>
      <c r="K245" s="22"/>
      <c r="L245" s="22"/>
      <c r="M245" s="22"/>
      <c r="N245" s="22"/>
      <c r="O245" s="22"/>
      <c r="P245" s="22"/>
      <c r="Q245" s="20">
        <f t="shared" si="12"/>
        <v>2188.6</v>
      </c>
    </row>
    <row r="246" spans="1:17" ht="12.75">
      <c r="A246" s="73">
        <f t="shared" si="10"/>
        <v>238</v>
      </c>
      <c r="B246" s="9" t="s">
        <v>330</v>
      </c>
      <c r="C246" s="9">
        <v>12242</v>
      </c>
      <c r="D246" s="17" t="s">
        <v>584</v>
      </c>
      <c r="E246" s="20"/>
      <c r="F246" s="20"/>
      <c r="G246" s="22">
        <f>ROUND(0.04*366.33,0)*3.53*8</f>
        <v>423.59999999999997</v>
      </c>
      <c r="H246" s="22">
        <f>ROUND(0.04*254.17,0)*3.53*8</f>
        <v>282.4</v>
      </c>
      <c r="I246" s="20"/>
      <c r="J246" s="20"/>
      <c r="K246" s="22"/>
      <c r="L246" s="20"/>
      <c r="M246" s="20"/>
      <c r="N246" s="20"/>
      <c r="O246" s="20"/>
      <c r="P246" s="20"/>
      <c r="Q246" s="20">
        <f t="shared" si="12"/>
        <v>706</v>
      </c>
    </row>
    <row r="247" spans="1:17" ht="12.75">
      <c r="A247" s="73">
        <f t="shared" si="10"/>
        <v>239</v>
      </c>
      <c r="B247" s="9" t="s">
        <v>331</v>
      </c>
      <c r="C247" s="9">
        <v>12235</v>
      </c>
      <c r="D247" s="17">
        <v>3</v>
      </c>
      <c r="E247" s="22">
        <f>ROUND(0.04*521.42,0)*3.53*3</f>
        <v>222.39</v>
      </c>
      <c r="F247" s="22">
        <f>ROUND(0.04*409.08,0)*3.53*3</f>
        <v>169.44</v>
      </c>
      <c r="G247" s="22">
        <f>ROUND(0.04*366.33,0)*3.53*3</f>
        <v>158.85</v>
      </c>
      <c r="H247" s="22">
        <f>ROUND(0.04*254.17,0)*3.53*3</f>
        <v>105.89999999999999</v>
      </c>
      <c r="I247" s="20"/>
      <c r="J247" s="20"/>
      <c r="K247" s="22"/>
      <c r="L247" s="22"/>
      <c r="M247" s="22"/>
      <c r="N247" s="22"/>
      <c r="O247" s="22"/>
      <c r="P247" s="22"/>
      <c r="Q247" s="20">
        <f t="shared" si="12"/>
        <v>656.5799999999999</v>
      </c>
    </row>
    <row r="248" spans="1:17" ht="12.75">
      <c r="A248" s="73">
        <f t="shared" si="10"/>
        <v>240</v>
      </c>
      <c r="B248" s="9" t="s">
        <v>332</v>
      </c>
      <c r="C248" s="9">
        <v>12238</v>
      </c>
      <c r="D248" s="17">
        <v>15</v>
      </c>
      <c r="E248" s="22">
        <f>ROUND(0.04*521.42,0)*3.53*15</f>
        <v>1111.9499999999998</v>
      </c>
      <c r="F248" s="22">
        <f>ROUND(0.04*409.08,0)*3.53*15</f>
        <v>847.1999999999999</v>
      </c>
      <c r="G248" s="22">
        <f>ROUND(0.04*366.33,0)*3.53*15</f>
        <v>794.2499999999999</v>
      </c>
      <c r="H248" s="22">
        <f>ROUND(0.04*254.17,0)*3.53*15</f>
        <v>529.5</v>
      </c>
      <c r="I248" s="20"/>
      <c r="J248" s="20"/>
      <c r="K248" s="22"/>
      <c r="L248" s="22"/>
      <c r="M248" s="22"/>
      <c r="N248" s="22"/>
      <c r="O248" s="22"/>
      <c r="P248" s="22"/>
      <c r="Q248" s="20">
        <f t="shared" si="12"/>
        <v>3282.8999999999996</v>
      </c>
    </row>
    <row r="249" spans="1:17" ht="12.75">
      <c r="A249" s="73">
        <f t="shared" si="10"/>
        <v>241</v>
      </c>
      <c r="B249" s="47" t="s">
        <v>605</v>
      </c>
      <c r="C249" s="10"/>
      <c r="D249" s="56">
        <v>3</v>
      </c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>
        <f t="shared" si="12"/>
        <v>0</v>
      </c>
    </row>
    <row r="250" spans="1:17" ht="12.75">
      <c r="A250" s="73">
        <f t="shared" si="10"/>
        <v>242</v>
      </c>
      <c r="B250" s="9" t="s">
        <v>333</v>
      </c>
      <c r="C250" s="9">
        <v>12254</v>
      </c>
      <c r="D250" s="17">
        <v>0</v>
      </c>
      <c r="E250" s="20"/>
      <c r="F250" s="20"/>
      <c r="G250" s="20"/>
      <c r="H250" s="20"/>
      <c r="I250" s="20"/>
      <c r="J250" s="20"/>
      <c r="K250" s="22"/>
      <c r="L250" s="20"/>
      <c r="M250" s="20"/>
      <c r="N250" s="20"/>
      <c r="O250" s="20"/>
      <c r="P250" s="20"/>
      <c r="Q250" s="20">
        <f t="shared" si="12"/>
        <v>0</v>
      </c>
    </row>
    <row r="251" spans="1:17" ht="12.75">
      <c r="A251" s="73">
        <f t="shared" si="10"/>
        <v>243</v>
      </c>
      <c r="B251" s="47" t="s">
        <v>606</v>
      </c>
      <c r="C251" s="10"/>
      <c r="D251" s="56">
        <v>3</v>
      </c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>
        <f t="shared" si="12"/>
        <v>0</v>
      </c>
    </row>
    <row r="252" spans="1:231" s="44" customFormat="1" ht="12.75">
      <c r="A252" s="73">
        <f t="shared" si="10"/>
        <v>244</v>
      </c>
      <c r="B252" s="47" t="s">
        <v>607</v>
      </c>
      <c r="C252" s="10"/>
      <c r="D252" s="56">
        <v>0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>
        <f t="shared" si="12"/>
        <v>0</v>
      </c>
      <c r="R252" s="34"/>
      <c r="S252" s="34"/>
      <c r="T252" s="34"/>
      <c r="U252" s="34"/>
      <c r="V252" s="34"/>
      <c r="W252" s="34"/>
      <c r="X252" s="34"/>
      <c r="Y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</row>
    <row r="253" spans="1:231" s="44" customFormat="1" ht="12.75">
      <c r="A253" s="73">
        <f t="shared" si="10"/>
        <v>245</v>
      </c>
      <c r="B253" s="9" t="s">
        <v>334</v>
      </c>
      <c r="C253" s="9">
        <v>12262</v>
      </c>
      <c r="D253" s="17">
        <v>3</v>
      </c>
      <c r="E253" s="22">
        <f>ROUND(0.04*521.42,0)*3.53*3</f>
        <v>222.39</v>
      </c>
      <c r="F253" s="22">
        <f>ROUND(0.04*409.08,0)*3.53*3</f>
        <v>169.44</v>
      </c>
      <c r="G253" s="22">
        <f>ROUND(0.04*366.33,0)*3.53*3</f>
        <v>158.85</v>
      </c>
      <c r="H253" s="22">
        <f>ROUND(0.04*254.17,0)*3.53*3</f>
        <v>105.89999999999999</v>
      </c>
      <c r="I253" s="20"/>
      <c r="J253" s="20"/>
      <c r="K253" s="22"/>
      <c r="L253" s="22"/>
      <c r="M253" s="22"/>
      <c r="N253" s="22"/>
      <c r="O253" s="22"/>
      <c r="P253" s="22"/>
      <c r="Q253" s="20">
        <f t="shared" si="12"/>
        <v>656.5799999999999</v>
      </c>
      <c r="R253" s="34"/>
      <c r="S253" s="34"/>
      <c r="T253" s="34"/>
      <c r="U253" s="34"/>
      <c r="V253" s="34"/>
      <c r="W253" s="34"/>
      <c r="X253" s="34"/>
      <c r="Y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</row>
    <row r="254" spans="1:231" s="44" customFormat="1" ht="12.75">
      <c r="A254" s="73"/>
      <c r="B254" s="9" t="s">
        <v>676</v>
      </c>
      <c r="C254" s="9"/>
      <c r="D254" s="17">
        <v>2</v>
      </c>
      <c r="E254" s="22">
        <f>ROUND(0.04*521.42,0)*3.53*2</f>
        <v>148.26</v>
      </c>
      <c r="F254" s="22">
        <f>ROUND(0.04*409.08,0)*3.53*2</f>
        <v>112.96</v>
      </c>
      <c r="G254" s="22">
        <f>ROUND(0.04*366.33,0)*3.53*2</f>
        <v>105.89999999999999</v>
      </c>
      <c r="H254" s="22">
        <f>ROUND(0.04*254.17,0)*3.53*2</f>
        <v>70.6</v>
      </c>
      <c r="I254" s="20"/>
      <c r="J254" s="20"/>
      <c r="K254" s="22"/>
      <c r="L254" s="22"/>
      <c r="M254" s="22"/>
      <c r="N254" s="22"/>
      <c r="O254" s="22"/>
      <c r="P254" s="22"/>
      <c r="Q254" s="20"/>
      <c r="R254" s="34"/>
      <c r="S254" s="34"/>
      <c r="T254" s="34"/>
      <c r="U254" s="34"/>
      <c r="V254" s="34"/>
      <c r="W254" s="34"/>
      <c r="X254" s="34"/>
      <c r="Y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</row>
    <row r="255" spans="1:17" ht="12.75">
      <c r="A255" s="73">
        <f>A253+1</f>
        <v>246</v>
      </c>
      <c r="B255" s="9" t="s">
        <v>335</v>
      </c>
      <c r="C255" s="9">
        <v>12266</v>
      </c>
      <c r="D255" s="17">
        <v>3</v>
      </c>
      <c r="E255" s="22">
        <f>ROUND(0.04*521.42,0)*3.53*3</f>
        <v>222.39</v>
      </c>
      <c r="F255" s="22">
        <f>ROUND(0.04*409.08,0)*3.53*3</f>
        <v>169.44</v>
      </c>
      <c r="G255" s="22">
        <f>ROUND(0.04*366.33,0)*3.53*3</f>
        <v>158.85</v>
      </c>
      <c r="H255" s="22">
        <f>ROUND(0.04*254.17,0)*3.53*3</f>
        <v>105.89999999999999</v>
      </c>
      <c r="I255" s="20"/>
      <c r="J255" s="20"/>
      <c r="K255" s="22"/>
      <c r="L255" s="22"/>
      <c r="M255" s="22"/>
      <c r="N255" s="22"/>
      <c r="O255" s="22"/>
      <c r="P255" s="22"/>
      <c r="Q255" s="20">
        <f t="shared" si="12"/>
        <v>656.5799999999999</v>
      </c>
    </row>
    <row r="256" spans="1:17" ht="12.75">
      <c r="A256" s="73">
        <f t="shared" si="10"/>
        <v>247</v>
      </c>
      <c r="B256" s="9" t="s">
        <v>336</v>
      </c>
      <c r="C256" s="9">
        <v>12267</v>
      </c>
      <c r="D256" s="17">
        <v>3</v>
      </c>
      <c r="E256" s="22">
        <f>ROUND(0.04*521.42,0)*3.53*3</f>
        <v>222.39</v>
      </c>
      <c r="F256" s="22">
        <f>ROUND(0.04*409.08,0)*3.53*3</f>
        <v>169.44</v>
      </c>
      <c r="G256" s="22">
        <f>ROUND(0.04*366.33,0)*3.53*3</f>
        <v>158.85</v>
      </c>
      <c r="H256" s="22">
        <f>ROUND(0.04*254.17,0)*3.53*3</f>
        <v>105.89999999999999</v>
      </c>
      <c r="I256" s="20"/>
      <c r="J256" s="20"/>
      <c r="K256" s="22"/>
      <c r="L256" s="22"/>
      <c r="M256" s="22"/>
      <c r="N256" s="22"/>
      <c r="O256" s="22"/>
      <c r="P256" s="22"/>
      <c r="Q256" s="20">
        <f t="shared" si="12"/>
        <v>656.5799999999999</v>
      </c>
    </row>
    <row r="257" spans="1:17" ht="12.75">
      <c r="A257" s="73">
        <f t="shared" si="10"/>
        <v>248</v>
      </c>
      <c r="B257" s="10" t="s">
        <v>337</v>
      </c>
      <c r="C257" s="10">
        <v>12269</v>
      </c>
      <c r="D257" s="45" t="s">
        <v>584</v>
      </c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>
        <f t="shared" si="12"/>
        <v>0</v>
      </c>
    </row>
    <row r="258" spans="1:17" ht="12.75">
      <c r="A258" s="73">
        <f t="shared" si="10"/>
        <v>249</v>
      </c>
      <c r="B258" s="9" t="s">
        <v>338</v>
      </c>
      <c r="C258" s="9">
        <v>12273</v>
      </c>
      <c r="D258" s="17">
        <v>13</v>
      </c>
      <c r="E258" s="22">
        <f>ROUND(0.04*521.42,0)*3.53*13</f>
        <v>963.6899999999999</v>
      </c>
      <c r="F258" s="22">
        <f>ROUND(0.04*409.08,0)*3.53*13</f>
        <v>734.24</v>
      </c>
      <c r="G258" s="22">
        <f>ROUND(0.04*366.33,0)*3.53*13</f>
        <v>688.3499999999999</v>
      </c>
      <c r="H258" s="22">
        <f>ROUND(0.04*254.17,0)*3.53*13</f>
        <v>458.9</v>
      </c>
      <c r="I258" s="20"/>
      <c r="J258" s="20"/>
      <c r="K258" s="22"/>
      <c r="L258" s="22"/>
      <c r="M258" s="22"/>
      <c r="N258" s="22"/>
      <c r="O258" s="22"/>
      <c r="P258" s="22"/>
      <c r="Q258" s="20">
        <f t="shared" si="12"/>
        <v>2845.18</v>
      </c>
    </row>
    <row r="259" spans="1:17" ht="12.75">
      <c r="A259" s="73">
        <f t="shared" si="10"/>
        <v>250</v>
      </c>
      <c r="B259" s="9" t="s">
        <v>339</v>
      </c>
      <c r="C259" s="9">
        <v>21664</v>
      </c>
      <c r="D259" s="17">
        <v>1</v>
      </c>
      <c r="E259" s="22">
        <f>ROUND(0.04*521.42,0)*3.53</f>
        <v>74.13</v>
      </c>
      <c r="F259" s="22">
        <f>ROUND(0.04*409.08,0)*3.53</f>
        <v>56.48</v>
      </c>
      <c r="G259" s="22">
        <f>ROUND(0.04*366.33,0)*3.53</f>
        <v>52.949999999999996</v>
      </c>
      <c r="H259" s="22">
        <f>ROUND(0.04*254.17,0)*3.53</f>
        <v>35.3</v>
      </c>
      <c r="I259" s="20"/>
      <c r="J259" s="20"/>
      <c r="K259" s="22"/>
      <c r="L259" s="22"/>
      <c r="M259" s="22"/>
      <c r="N259" s="22"/>
      <c r="O259" s="22"/>
      <c r="P259" s="22"/>
      <c r="Q259" s="20">
        <f t="shared" si="12"/>
        <v>218.85999999999996</v>
      </c>
    </row>
    <row r="260" spans="1:17" ht="12.75">
      <c r="A260" s="73">
        <f t="shared" si="10"/>
        <v>251</v>
      </c>
      <c r="B260" s="9" t="s">
        <v>340</v>
      </c>
      <c r="C260" s="9">
        <v>21667</v>
      </c>
      <c r="D260" s="17">
        <v>2</v>
      </c>
      <c r="E260" s="22">
        <f>ROUND(0.04*521.42,0)*3.53*2</f>
        <v>148.26</v>
      </c>
      <c r="F260" s="22">
        <f>ROUND(0.04*409.08,0)*3.53*2</f>
        <v>112.96</v>
      </c>
      <c r="G260" s="22">
        <f>ROUND(0.04*366.33,0)*3.53*2</f>
        <v>105.89999999999999</v>
      </c>
      <c r="H260" s="22">
        <f>ROUND(0.04*254.17,0)*3.53*2</f>
        <v>70.6</v>
      </c>
      <c r="I260" s="22"/>
      <c r="J260" s="20"/>
      <c r="K260" s="22"/>
      <c r="L260" s="22"/>
      <c r="M260" s="22"/>
      <c r="N260" s="22"/>
      <c r="O260" s="22"/>
      <c r="P260" s="22"/>
      <c r="Q260" s="20">
        <f t="shared" si="12"/>
        <v>437.7199999999999</v>
      </c>
    </row>
    <row r="261" spans="1:17" ht="12.75">
      <c r="A261" s="73">
        <f t="shared" si="10"/>
        <v>252</v>
      </c>
      <c r="B261" s="10" t="s">
        <v>341</v>
      </c>
      <c r="C261" s="10">
        <v>21398</v>
      </c>
      <c r="D261" s="45" t="s">
        <v>584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>
        <f t="shared" si="12"/>
        <v>0</v>
      </c>
    </row>
    <row r="262" spans="1:17" ht="12.75">
      <c r="A262" s="73">
        <f t="shared" si="10"/>
        <v>253</v>
      </c>
      <c r="B262" s="10" t="s">
        <v>342</v>
      </c>
      <c r="C262" s="10">
        <v>21263</v>
      </c>
      <c r="D262" s="45">
        <v>0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>
        <f t="shared" si="12"/>
        <v>0</v>
      </c>
    </row>
    <row r="263" spans="1:17" ht="12.75">
      <c r="A263" s="73">
        <f t="shared" si="10"/>
        <v>254</v>
      </c>
      <c r="B263" s="10" t="s">
        <v>343</v>
      </c>
      <c r="C263" s="10">
        <v>21264</v>
      </c>
      <c r="D263" s="45">
        <v>0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>
        <f t="shared" si="12"/>
        <v>0</v>
      </c>
    </row>
    <row r="264" spans="1:17" ht="12.75">
      <c r="A264" s="73">
        <f t="shared" si="10"/>
        <v>255</v>
      </c>
      <c r="B264" s="10" t="s">
        <v>344</v>
      </c>
      <c r="C264" s="10">
        <v>21265</v>
      </c>
      <c r="D264" s="45" t="s">
        <v>584</v>
      </c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>
        <f t="shared" si="12"/>
        <v>0</v>
      </c>
    </row>
    <row r="265" spans="1:17" ht="12.75">
      <c r="A265" s="73">
        <f t="shared" si="10"/>
        <v>256</v>
      </c>
      <c r="B265" s="9" t="s">
        <v>345</v>
      </c>
      <c r="C265" s="9">
        <v>12085</v>
      </c>
      <c r="D265" s="17">
        <v>8</v>
      </c>
      <c r="E265" s="22">
        <f>ROUND(0.04*521.42,0)*3.53*8</f>
        <v>593.04</v>
      </c>
      <c r="F265" s="22">
        <f>ROUND(0.04*409.08,0)*3.53*8</f>
        <v>451.84</v>
      </c>
      <c r="G265" s="22">
        <f>ROUND(0.04*366.33,0)*3.53*8</f>
        <v>423.59999999999997</v>
      </c>
      <c r="H265" s="22">
        <f>ROUND(0.04*254.17,0)*3.53*8</f>
        <v>282.4</v>
      </c>
      <c r="I265" s="20"/>
      <c r="J265" s="20"/>
      <c r="K265" s="22"/>
      <c r="L265" s="22"/>
      <c r="M265" s="22"/>
      <c r="N265" s="22"/>
      <c r="O265" s="22"/>
      <c r="P265" s="22"/>
      <c r="Q265" s="20">
        <f t="shared" si="12"/>
        <v>1750.8799999999997</v>
      </c>
    </row>
    <row r="266" spans="1:17" ht="12.75">
      <c r="A266" s="73">
        <f t="shared" si="10"/>
        <v>257</v>
      </c>
      <c r="B266" s="9" t="s">
        <v>346</v>
      </c>
      <c r="C266" s="9">
        <v>12086</v>
      </c>
      <c r="D266" s="17">
        <v>14</v>
      </c>
      <c r="E266" s="22">
        <f>ROUND(0.04*521.42,0)*3.53*14</f>
        <v>1037.82</v>
      </c>
      <c r="F266" s="22">
        <f>ROUND(0.04*409.08,0)*3.53*14</f>
        <v>790.7199999999999</v>
      </c>
      <c r="G266" s="22">
        <f>ROUND(0.04*366.33,0)*3.53*14</f>
        <v>741.3</v>
      </c>
      <c r="H266" s="22">
        <f>ROUND(0.04*254.17,0)*3.53*14</f>
        <v>494.19999999999993</v>
      </c>
      <c r="I266" s="20"/>
      <c r="J266" s="20"/>
      <c r="K266" s="22"/>
      <c r="L266" s="22"/>
      <c r="M266" s="22"/>
      <c r="N266" s="22"/>
      <c r="O266" s="22"/>
      <c r="P266" s="22"/>
      <c r="Q266" s="20">
        <f t="shared" si="12"/>
        <v>3064.04</v>
      </c>
    </row>
    <row r="267" spans="1:17" ht="12.75">
      <c r="A267" s="73">
        <f t="shared" si="10"/>
        <v>258</v>
      </c>
      <c r="B267" s="9" t="s">
        <v>347</v>
      </c>
      <c r="C267" s="9">
        <v>12088</v>
      </c>
      <c r="D267" s="17">
        <v>15</v>
      </c>
      <c r="E267" s="22">
        <f>ROUND(0.04*521.42,0)*3.53*15</f>
        <v>1111.9499999999998</v>
      </c>
      <c r="F267" s="22">
        <f>ROUND(0.04*409.08,0)*3.53*15</f>
        <v>847.1999999999999</v>
      </c>
      <c r="G267" s="22">
        <f>ROUND(0.04*366.33,0)*3.53*15</f>
        <v>794.2499999999999</v>
      </c>
      <c r="H267" s="22">
        <f>ROUND(0.04*254.17,0)*3.53*15</f>
        <v>529.5</v>
      </c>
      <c r="I267" s="20"/>
      <c r="J267" s="20"/>
      <c r="K267" s="22"/>
      <c r="L267" s="22"/>
      <c r="M267" s="22"/>
      <c r="N267" s="22"/>
      <c r="O267" s="22"/>
      <c r="P267" s="22"/>
      <c r="Q267" s="20">
        <f t="shared" si="12"/>
        <v>3282.8999999999996</v>
      </c>
    </row>
    <row r="268" spans="1:17" ht="12.75">
      <c r="A268" s="73">
        <f aca="true" t="shared" si="13" ref="A268:A331">A267+1</f>
        <v>259</v>
      </c>
      <c r="B268" s="9" t="s">
        <v>348</v>
      </c>
      <c r="C268" s="9">
        <v>12093</v>
      </c>
      <c r="D268" s="17">
        <v>8</v>
      </c>
      <c r="E268" s="22">
        <f>ROUND(0.04*521.42,0)*3.53*8</f>
        <v>593.04</v>
      </c>
      <c r="F268" s="22">
        <f>ROUND(0.04*409.08,0)*3.53*8</f>
        <v>451.84</v>
      </c>
      <c r="G268" s="22">
        <f>ROUND(0.04*366.33,0)*3.53*8</f>
        <v>423.59999999999997</v>
      </c>
      <c r="H268" s="22">
        <f>ROUND(0.04*254.17,0)*3.53*8</f>
        <v>282.4</v>
      </c>
      <c r="I268" s="20"/>
      <c r="J268" s="20"/>
      <c r="K268" s="22"/>
      <c r="L268" s="22"/>
      <c r="M268" s="22"/>
      <c r="N268" s="22"/>
      <c r="O268" s="22"/>
      <c r="P268" s="22"/>
      <c r="Q268" s="20">
        <f t="shared" si="12"/>
        <v>1750.8799999999997</v>
      </c>
    </row>
    <row r="269" spans="1:17" ht="12.75">
      <c r="A269" s="73">
        <f t="shared" si="13"/>
        <v>260</v>
      </c>
      <c r="B269" s="9" t="s">
        <v>349</v>
      </c>
      <c r="C269" s="9">
        <v>12094</v>
      </c>
      <c r="D269" s="17">
        <v>13</v>
      </c>
      <c r="E269" s="22">
        <f>ROUND(0.04*521.42,0)*3.53*13</f>
        <v>963.6899999999999</v>
      </c>
      <c r="F269" s="22">
        <f>ROUND(0.04*409.08,0)*3.53*13</f>
        <v>734.24</v>
      </c>
      <c r="G269" s="22">
        <f>ROUND(0.04*366.33,0)*3.53*13</f>
        <v>688.3499999999999</v>
      </c>
      <c r="H269" s="22">
        <f>ROUND(0.04*254.17,0)*3.53*13</f>
        <v>458.9</v>
      </c>
      <c r="I269" s="20"/>
      <c r="J269" s="20"/>
      <c r="K269" s="22"/>
      <c r="L269" s="22"/>
      <c r="M269" s="22"/>
      <c r="N269" s="22"/>
      <c r="O269" s="22"/>
      <c r="P269" s="22"/>
      <c r="Q269" s="20">
        <f t="shared" si="12"/>
        <v>2845.18</v>
      </c>
    </row>
    <row r="270" spans="1:231" s="44" customFormat="1" ht="12.75">
      <c r="A270" s="73">
        <f t="shared" si="13"/>
        <v>261</v>
      </c>
      <c r="B270" s="9" t="s">
        <v>350</v>
      </c>
      <c r="C270" s="9">
        <v>12611</v>
      </c>
      <c r="D270" s="17">
        <v>10</v>
      </c>
      <c r="E270" s="22">
        <f>ROUND(0.04*521.42,0)*3.53*10</f>
        <v>741.3</v>
      </c>
      <c r="F270" s="22">
        <f>ROUND(0.04*409.08,0)*3.53*10</f>
        <v>564.8</v>
      </c>
      <c r="G270" s="22">
        <f>ROUND(0.04*366.33,0)*3.53*10</f>
        <v>529.5</v>
      </c>
      <c r="H270" s="22">
        <f>ROUND(0.04*254.17,0)*3.53*10</f>
        <v>353</v>
      </c>
      <c r="I270" s="20"/>
      <c r="J270" s="20"/>
      <c r="K270" s="22"/>
      <c r="L270" s="22"/>
      <c r="M270" s="22"/>
      <c r="N270" s="22"/>
      <c r="O270" s="22"/>
      <c r="P270" s="22"/>
      <c r="Q270" s="20">
        <f t="shared" si="12"/>
        <v>2188.6</v>
      </c>
      <c r="R270" s="34"/>
      <c r="S270" s="34"/>
      <c r="T270" s="34"/>
      <c r="U270" s="34"/>
      <c r="V270" s="34"/>
      <c r="W270" s="34"/>
      <c r="X270" s="34"/>
      <c r="Y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</row>
    <row r="271" spans="1:17" ht="12.75">
      <c r="A271" s="73">
        <f t="shared" si="13"/>
        <v>262</v>
      </c>
      <c r="B271" s="10" t="s">
        <v>351</v>
      </c>
      <c r="C271" s="10">
        <v>21402</v>
      </c>
      <c r="D271" s="45" t="s">
        <v>584</v>
      </c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>
        <f t="shared" si="12"/>
        <v>0</v>
      </c>
    </row>
    <row r="272" spans="1:17" ht="12.75">
      <c r="A272" s="73">
        <f t="shared" si="13"/>
        <v>263</v>
      </c>
      <c r="B272" s="10" t="s">
        <v>352</v>
      </c>
      <c r="C272" s="10">
        <v>21668</v>
      </c>
      <c r="D272" s="45">
        <v>1</v>
      </c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>
        <f t="shared" si="12"/>
        <v>0</v>
      </c>
    </row>
    <row r="273" spans="1:17" ht="12.75">
      <c r="A273" s="73">
        <f t="shared" si="13"/>
        <v>264</v>
      </c>
      <c r="B273" s="10" t="s">
        <v>353</v>
      </c>
      <c r="C273" s="10">
        <v>21672</v>
      </c>
      <c r="D273" s="45" t="s">
        <v>585</v>
      </c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>
        <f t="shared" si="12"/>
        <v>0</v>
      </c>
    </row>
    <row r="274" spans="1:17" ht="12.75">
      <c r="A274" s="73">
        <f t="shared" si="13"/>
        <v>265</v>
      </c>
      <c r="B274" s="10" t="s">
        <v>354</v>
      </c>
      <c r="C274" s="10">
        <v>21673</v>
      </c>
      <c r="D274" s="45" t="s">
        <v>585</v>
      </c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>
        <f t="shared" si="12"/>
        <v>0</v>
      </c>
    </row>
    <row r="275" spans="1:17" ht="12.75">
      <c r="A275" s="73">
        <f t="shared" si="13"/>
        <v>266</v>
      </c>
      <c r="B275" s="9" t="s">
        <v>355</v>
      </c>
      <c r="C275" s="9">
        <v>12098</v>
      </c>
      <c r="D275" s="17">
        <v>9</v>
      </c>
      <c r="E275" s="22">
        <f>ROUND(0.04*521.42,0)*3.53*9</f>
        <v>667.17</v>
      </c>
      <c r="F275" s="22">
        <f>ROUND(0.04*409.08,0)*3.53*9</f>
        <v>508.32</v>
      </c>
      <c r="G275" s="22">
        <f>ROUND(0.04*366.33,0)*3.53*9</f>
        <v>476.54999999999995</v>
      </c>
      <c r="H275" s="22">
        <f>ROUND(0.04*254.17,0)*3.53*9</f>
        <v>317.7</v>
      </c>
      <c r="I275" s="20"/>
      <c r="J275" s="20"/>
      <c r="K275" s="22"/>
      <c r="L275" s="22"/>
      <c r="M275" s="22"/>
      <c r="N275" s="22"/>
      <c r="O275" s="22"/>
      <c r="P275" s="22"/>
      <c r="Q275" s="20">
        <f t="shared" si="12"/>
        <v>1969.74</v>
      </c>
    </row>
    <row r="276" spans="1:17" ht="12.75">
      <c r="A276" s="73">
        <f t="shared" si="13"/>
        <v>267</v>
      </c>
      <c r="B276" s="9" t="s">
        <v>356</v>
      </c>
      <c r="C276" s="9">
        <v>12099</v>
      </c>
      <c r="D276" s="17">
        <v>9</v>
      </c>
      <c r="E276" s="22">
        <f>ROUND(0.04*521.42,0)*3.53*9</f>
        <v>667.17</v>
      </c>
      <c r="F276" s="22">
        <f>ROUND(0.04*409.08,0)*3.53*9</f>
        <v>508.32</v>
      </c>
      <c r="G276" s="22">
        <f>ROUND(0.04*366.33,0)*3.53*9</f>
        <v>476.54999999999995</v>
      </c>
      <c r="H276" s="22">
        <f>ROUND(0.04*254.17,0)*3.53*9</f>
        <v>317.7</v>
      </c>
      <c r="I276" s="20"/>
      <c r="J276" s="20"/>
      <c r="K276" s="22"/>
      <c r="L276" s="22"/>
      <c r="M276" s="22"/>
      <c r="N276" s="22"/>
      <c r="O276" s="22"/>
      <c r="P276" s="22"/>
      <c r="Q276" s="20">
        <f t="shared" si="12"/>
        <v>1969.74</v>
      </c>
    </row>
    <row r="277" spans="1:17" ht="12.75">
      <c r="A277" s="73">
        <f t="shared" si="13"/>
        <v>268</v>
      </c>
      <c r="B277" s="10" t="s">
        <v>357</v>
      </c>
      <c r="C277" s="10">
        <v>12104</v>
      </c>
      <c r="D277" s="45">
        <v>26</v>
      </c>
      <c r="E277" s="43"/>
      <c r="F277" s="43"/>
      <c r="G277" s="43"/>
      <c r="H277" s="43"/>
      <c r="I277" s="43"/>
      <c r="J277" s="43"/>
      <c r="K277" s="50"/>
      <c r="L277" s="43"/>
      <c r="M277" s="43"/>
      <c r="N277" s="43"/>
      <c r="O277" s="43"/>
      <c r="P277" s="43"/>
      <c r="Q277" s="43">
        <f t="shared" si="12"/>
        <v>0</v>
      </c>
    </row>
    <row r="278" spans="1:17" ht="12.75">
      <c r="A278" s="73">
        <f t="shared" si="13"/>
        <v>269</v>
      </c>
      <c r="B278" s="10" t="s">
        <v>358</v>
      </c>
      <c r="C278" s="10">
        <v>12105</v>
      </c>
      <c r="D278" s="45">
        <v>8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>
        <f t="shared" si="12"/>
        <v>0</v>
      </c>
    </row>
    <row r="279" spans="1:17" ht="12.75">
      <c r="A279" s="73">
        <f t="shared" si="13"/>
        <v>270</v>
      </c>
      <c r="B279" s="9" t="s">
        <v>562</v>
      </c>
      <c r="C279" s="11">
        <v>10006</v>
      </c>
      <c r="D279" s="17" t="s">
        <v>586</v>
      </c>
      <c r="E279" s="20">
        <v>11528.77</v>
      </c>
      <c r="F279" s="20">
        <v>11529.77</v>
      </c>
      <c r="G279" s="20"/>
      <c r="H279" s="20"/>
      <c r="I279" s="20"/>
      <c r="J279" s="20"/>
      <c r="K279" s="22"/>
      <c r="L279" s="20"/>
      <c r="M279" s="20"/>
      <c r="N279" s="20"/>
      <c r="O279" s="20"/>
      <c r="P279" s="20"/>
      <c r="Q279" s="20">
        <f t="shared" si="12"/>
        <v>23058.54</v>
      </c>
    </row>
    <row r="280" spans="1:17" ht="12.75">
      <c r="A280" s="73">
        <f t="shared" si="13"/>
        <v>271</v>
      </c>
      <c r="B280" s="47" t="s">
        <v>618</v>
      </c>
      <c r="C280" s="10"/>
      <c r="D280" s="45" t="s">
        <v>586</v>
      </c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>
        <f t="shared" si="12"/>
        <v>0</v>
      </c>
    </row>
    <row r="281" spans="1:17" ht="12.75">
      <c r="A281" s="73">
        <f t="shared" si="13"/>
        <v>272</v>
      </c>
      <c r="B281" s="9" t="s">
        <v>359</v>
      </c>
      <c r="C281" s="9">
        <v>12406</v>
      </c>
      <c r="D281" s="31" t="s">
        <v>588</v>
      </c>
      <c r="E281" s="20">
        <v>8871.01</v>
      </c>
      <c r="F281" s="20">
        <v>8304.56</v>
      </c>
      <c r="G281" s="20"/>
      <c r="H281" s="20"/>
      <c r="I281" s="20"/>
      <c r="J281" s="20"/>
      <c r="K281" s="22"/>
      <c r="L281" s="20"/>
      <c r="M281" s="20"/>
      <c r="N281" s="20"/>
      <c r="O281" s="20"/>
      <c r="P281" s="20"/>
      <c r="Q281" s="20">
        <f t="shared" si="12"/>
        <v>17175.57</v>
      </c>
    </row>
    <row r="282" spans="1:17" ht="12.75">
      <c r="A282" s="73">
        <f t="shared" si="13"/>
        <v>273</v>
      </c>
      <c r="B282" s="10" t="s">
        <v>360</v>
      </c>
      <c r="C282" s="10">
        <v>12637</v>
      </c>
      <c r="D282" s="45">
        <v>0</v>
      </c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>
        <f t="shared" si="12"/>
        <v>0</v>
      </c>
    </row>
    <row r="283" spans="1:17" ht="12.75">
      <c r="A283" s="73">
        <f t="shared" si="13"/>
        <v>274</v>
      </c>
      <c r="B283" s="10" t="s">
        <v>594</v>
      </c>
      <c r="C283" s="10"/>
      <c r="D283" s="45">
        <v>0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>
        <f t="shared" si="12"/>
        <v>0</v>
      </c>
    </row>
    <row r="284" spans="1:17" ht="12.75">
      <c r="A284" s="73">
        <f t="shared" si="13"/>
        <v>275</v>
      </c>
      <c r="B284" s="9" t="s">
        <v>361</v>
      </c>
      <c r="C284" s="9">
        <v>12407</v>
      </c>
      <c r="D284" s="31" t="s">
        <v>588</v>
      </c>
      <c r="E284" s="20">
        <v>5869.17</v>
      </c>
      <c r="F284" s="20">
        <v>4114.35</v>
      </c>
      <c r="G284" s="20"/>
      <c r="H284" s="20"/>
      <c r="I284" s="20"/>
      <c r="J284" s="20"/>
      <c r="K284" s="22"/>
      <c r="L284" s="20"/>
      <c r="M284" s="20"/>
      <c r="N284" s="20"/>
      <c r="O284" s="20"/>
      <c r="P284" s="20"/>
      <c r="Q284" s="20">
        <f t="shared" si="12"/>
        <v>9983.52</v>
      </c>
    </row>
    <row r="285" spans="1:17" ht="12.75">
      <c r="A285" s="73">
        <f t="shared" si="13"/>
        <v>276</v>
      </c>
      <c r="B285" s="9" t="s">
        <v>362</v>
      </c>
      <c r="C285" s="9">
        <v>33005</v>
      </c>
      <c r="D285" s="17" t="s">
        <v>591</v>
      </c>
      <c r="E285" s="43"/>
      <c r="F285" s="20"/>
      <c r="G285" s="20"/>
      <c r="H285" s="20"/>
      <c r="I285" s="20"/>
      <c r="J285" s="20"/>
      <c r="K285" s="22"/>
      <c r="L285" s="20"/>
      <c r="M285" s="20"/>
      <c r="N285" s="20"/>
      <c r="O285" s="20"/>
      <c r="P285" s="20"/>
      <c r="Q285" s="20">
        <f t="shared" si="12"/>
        <v>0</v>
      </c>
    </row>
    <row r="286" spans="1:17" ht="12.75">
      <c r="A286" s="73">
        <f t="shared" si="13"/>
        <v>277</v>
      </c>
      <c r="B286" s="9" t="s">
        <v>363</v>
      </c>
      <c r="C286" s="9">
        <v>21824</v>
      </c>
      <c r="D286" s="17" t="s">
        <v>585</v>
      </c>
      <c r="E286" s="20">
        <v>662.31</v>
      </c>
      <c r="F286" s="20">
        <v>606.87</v>
      </c>
      <c r="G286" s="20"/>
      <c r="H286" s="20"/>
      <c r="I286" s="20"/>
      <c r="J286" s="20"/>
      <c r="K286" s="22"/>
      <c r="L286" s="20"/>
      <c r="M286" s="20"/>
      <c r="N286" s="20"/>
      <c r="O286" s="20"/>
      <c r="P286" s="20"/>
      <c r="Q286" s="20">
        <f t="shared" si="12"/>
        <v>1269.1799999999998</v>
      </c>
    </row>
    <row r="287" spans="1:17" ht="12.75">
      <c r="A287" s="73">
        <f t="shared" si="13"/>
        <v>278</v>
      </c>
      <c r="B287" s="9" t="s">
        <v>364</v>
      </c>
      <c r="C287" s="9">
        <v>21827</v>
      </c>
      <c r="D287" s="17" t="s">
        <v>585</v>
      </c>
      <c r="E287" s="20">
        <v>1113.76</v>
      </c>
      <c r="F287" s="20">
        <v>1068.97</v>
      </c>
      <c r="G287" s="20"/>
      <c r="H287" s="20"/>
      <c r="I287" s="20"/>
      <c r="J287" s="20"/>
      <c r="K287" s="22"/>
      <c r="L287" s="20"/>
      <c r="M287" s="20"/>
      <c r="N287" s="20"/>
      <c r="O287" s="20"/>
      <c r="P287" s="20"/>
      <c r="Q287" s="20">
        <f t="shared" si="12"/>
        <v>2182.73</v>
      </c>
    </row>
    <row r="288" spans="1:17" ht="12.75">
      <c r="A288" s="73">
        <f t="shared" si="13"/>
        <v>279</v>
      </c>
      <c r="B288" s="9" t="s">
        <v>365</v>
      </c>
      <c r="C288" s="9">
        <v>21828</v>
      </c>
      <c r="D288" s="17" t="s">
        <v>585</v>
      </c>
      <c r="E288" s="20">
        <v>2398.43</v>
      </c>
      <c r="F288" s="20">
        <v>2352.18</v>
      </c>
      <c r="G288" s="20"/>
      <c r="H288" s="20"/>
      <c r="I288" s="20"/>
      <c r="J288" s="20"/>
      <c r="K288" s="22"/>
      <c r="L288" s="20"/>
      <c r="M288" s="20"/>
      <c r="N288" s="20"/>
      <c r="O288" s="20"/>
      <c r="P288" s="20"/>
      <c r="Q288" s="20">
        <f t="shared" si="12"/>
        <v>4750.61</v>
      </c>
    </row>
    <row r="289" spans="1:231" s="44" customFormat="1" ht="12.75">
      <c r="A289" s="73">
        <f t="shared" si="13"/>
        <v>280</v>
      </c>
      <c r="B289" s="9" t="s">
        <v>366</v>
      </c>
      <c r="C289" s="9">
        <v>21829</v>
      </c>
      <c r="D289" s="17" t="s">
        <v>585</v>
      </c>
      <c r="E289" s="20">
        <v>479.02</v>
      </c>
      <c r="F289" s="20">
        <v>445.61</v>
      </c>
      <c r="G289" s="20"/>
      <c r="H289" s="20"/>
      <c r="I289" s="20"/>
      <c r="J289" s="20"/>
      <c r="K289" s="22"/>
      <c r="L289" s="20"/>
      <c r="M289" s="20"/>
      <c r="N289" s="20"/>
      <c r="O289" s="20"/>
      <c r="P289" s="20"/>
      <c r="Q289" s="20">
        <f t="shared" si="12"/>
        <v>924.63</v>
      </c>
      <c r="R289" s="34"/>
      <c r="S289" s="34"/>
      <c r="T289" s="34"/>
      <c r="U289" s="34"/>
      <c r="V289" s="34"/>
      <c r="W289" s="34"/>
      <c r="X289" s="34"/>
      <c r="Y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</row>
    <row r="290" spans="1:17" ht="12.75">
      <c r="A290" s="73">
        <f t="shared" si="13"/>
        <v>281</v>
      </c>
      <c r="B290" s="9" t="s">
        <v>367</v>
      </c>
      <c r="C290" s="9">
        <v>12362</v>
      </c>
      <c r="D290" s="17" t="s">
        <v>585</v>
      </c>
      <c r="E290" s="20">
        <v>190.01</v>
      </c>
      <c r="F290" s="20">
        <v>2177.53</v>
      </c>
      <c r="G290" s="20"/>
      <c r="H290" s="20"/>
      <c r="I290" s="20"/>
      <c r="J290" s="20"/>
      <c r="K290" s="22"/>
      <c r="L290" s="20"/>
      <c r="M290" s="20"/>
      <c r="N290" s="20"/>
      <c r="O290" s="20"/>
      <c r="P290" s="20"/>
      <c r="Q290" s="20">
        <f t="shared" si="12"/>
        <v>2367.54</v>
      </c>
    </row>
    <row r="291" spans="1:17" ht="12.75">
      <c r="A291" s="73">
        <f t="shared" si="13"/>
        <v>282</v>
      </c>
      <c r="B291" s="9" t="s">
        <v>368</v>
      </c>
      <c r="C291" s="9">
        <v>12360</v>
      </c>
      <c r="D291" s="31" t="s">
        <v>588</v>
      </c>
      <c r="E291" s="20">
        <v>7459.1</v>
      </c>
      <c r="F291" s="20">
        <v>6284.26</v>
      </c>
      <c r="G291" s="20"/>
      <c r="H291" s="20"/>
      <c r="I291" s="20"/>
      <c r="J291" s="20"/>
      <c r="K291" s="22"/>
      <c r="L291" s="20"/>
      <c r="M291" s="20"/>
      <c r="N291" s="20"/>
      <c r="O291" s="20"/>
      <c r="P291" s="20"/>
      <c r="Q291" s="20">
        <f t="shared" si="12"/>
        <v>13743.36</v>
      </c>
    </row>
    <row r="292" spans="1:17" ht="12.75">
      <c r="A292" s="73">
        <f t="shared" si="13"/>
        <v>283</v>
      </c>
      <c r="B292" s="9" t="s">
        <v>369</v>
      </c>
      <c r="C292" s="9">
        <v>12361</v>
      </c>
      <c r="D292" s="17" t="s">
        <v>585</v>
      </c>
      <c r="E292" s="20">
        <v>2232.55</v>
      </c>
      <c r="F292" s="20">
        <v>1839.71</v>
      </c>
      <c r="G292" s="20"/>
      <c r="H292" s="20"/>
      <c r="I292" s="20"/>
      <c r="J292" s="20"/>
      <c r="K292" s="22"/>
      <c r="L292" s="20"/>
      <c r="M292" s="20"/>
      <c r="N292" s="20"/>
      <c r="O292" s="20"/>
      <c r="P292" s="20"/>
      <c r="Q292" s="20">
        <f t="shared" si="12"/>
        <v>4072.26</v>
      </c>
    </row>
    <row r="293" spans="1:17" ht="12.75">
      <c r="A293" s="73">
        <f t="shared" si="13"/>
        <v>284</v>
      </c>
      <c r="B293" s="9" t="s">
        <v>370</v>
      </c>
      <c r="C293" s="9">
        <v>11165</v>
      </c>
      <c r="D293" s="17" t="s">
        <v>585</v>
      </c>
      <c r="E293" s="20">
        <v>607.05</v>
      </c>
      <c r="F293" s="20">
        <v>1531.02</v>
      </c>
      <c r="G293" s="20"/>
      <c r="H293" s="20"/>
      <c r="I293" s="20"/>
      <c r="J293" s="20"/>
      <c r="K293" s="22"/>
      <c r="L293" s="20"/>
      <c r="M293" s="20"/>
      <c r="N293" s="20"/>
      <c r="O293" s="20"/>
      <c r="P293" s="20"/>
      <c r="Q293" s="20">
        <f t="shared" si="12"/>
        <v>2138.0699999999997</v>
      </c>
    </row>
    <row r="294" spans="1:231" s="44" customFormat="1" ht="12.75">
      <c r="A294" s="73">
        <f t="shared" si="13"/>
        <v>285</v>
      </c>
      <c r="B294" s="9" t="s">
        <v>371</v>
      </c>
      <c r="C294" s="9">
        <v>12109</v>
      </c>
      <c r="D294" s="17">
        <v>15</v>
      </c>
      <c r="E294" s="22">
        <f>ROUND(0.04*521.42,0)*3.53*15</f>
        <v>1111.9499999999998</v>
      </c>
      <c r="F294" s="22">
        <f>ROUND(0.04*409.08,0)*3.53*15</f>
        <v>847.1999999999999</v>
      </c>
      <c r="G294" s="22">
        <f>ROUND(0.04*366.33,0)*3.53*15</f>
        <v>794.2499999999999</v>
      </c>
      <c r="H294" s="22">
        <f>ROUND(0.04*254.17,0)*3.53*15</f>
        <v>529.5</v>
      </c>
      <c r="I294" s="20"/>
      <c r="J294" s="20"/>
      <c r="K294" s="22"/>
      <c r="L294" s="22"/>
      <c r="M294" s="22"/>
      <c r="N294" s="22"/>
      <c r="O294" s="22"/>
      <c r="P294" s="22"/>
      <c r="Q294" s="20">
        <f t="shared" si="12"/>
        <v>3282.8999999999996</v>
      </c>
      <c r="R294" s="34"/>
      <c r="S294" s="34"/>
      <c r="T294" s="34"/>
      <c r="U294" s="34"/>
      <c r="V294" s="34"/>
      <c r="W294" s="34"/>
      <c r="X294" s="34"/>
      <c r="Y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</row>
    <row r="295" spans="1:17" ht="12.75">
      <c r="A295" s="73">
        <f t="shared" si="13"/>
        <v>286</v>
      </c>
      <c r="B295" s="9" t="s">
        <v>372</v>
      </c>
      <c r="C295" s="9">
        <v>11161</v>
      </c>
      <c r="D295" s="31" t="s">
        <v>588</v>
      </c>
      <c r="E295" s="20">
        <v>1505.67</v>
      </c>
      <c r="F295" s="20">
        <v>1430.24</v>
      </c>
      <c r="G295" s="20"/>
      <c r="H295" s="20"/>
      <c r="I295" s="20"/>
      <c r="J295" s="20"/>
      <c r="K295" s="22"/>
      <c r="L295" s="20"/>
      <c r="M295" s="20"/>
      <c r="N295" s="20"/>
      <c r="O295" s="20"/>
      <c r="P295" s="20"/>
      <c r="Q295" s="20">
        <f t="shared" si="12"/>
        <v>2935.91</v>
      </c>
    </row>
    <row r="296" spans="1:17" ht="12.75">
      <c r="A296" s="73">
        <f t="shared" si="13"/>
        <v>287</v>
      </c>
      <c r="B296" s="9" t="s">
        <v>373</v>
      </c>
      <c r="C296" s="9">
        <v>12113</v>
      </c>
      <c r="D296" s="17">
        <v>4</v>
      </c>
      <c r="E296" s="22">
        <f>ROUND(0.04*521.42,0)*3.53*4</f>
        <v>296.52</v>
      </c>
      <c r="F296" s="22">
        <f>ROUND(0.04*409.08,0)*3.53*4</f>
        <v>225.92</v>
      </c>
      <c r="G296" s="22">
        <f>ROUND(0.04*366.33,0)*3.53*4</f>
        <v>211.79999999999998</v>
      </c>
      <c r="H296" s="22">
        <f>ROUND(0.04*254.17,0)*3.53*4</f>
        <v>141.2</v>
      </c>
      <c r="I296" s="20"/>
      <c r="J296" s="20"/>
      <c r="K296" s="22"/>
      <c r="L296" s="22"/>
      <c r="M296" s="22"/>
      <c r="N296" s="22"/>
      <c r="O296" s="22"/>
      <c r="P296" s="22"/>
      <c r="Q296" s="20">
        <f t="shared" si="12"/>
        <v>875.4399999999998</v>
      </c>
    </row>
    <row r="297" spans="1:17" ht="12.75">
      <c r="A297" s="73">
        <f t="shared" si="13"/>
        <v>288</v>
      </c>
      <c r="B297" s="10" t="s">
        <v>374</v>
      </c>
      <c r="C297" s="10">
        <v>12115</v>
      </c>
      <c r="D297" s="56">
        <v>9</v>
      </c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>
        <f t="shared" si="12"/>
        <v>0</v>
      </c>
    </row>
    <row r="298" spans="1:17" ht="12.75">
      <c r="A298" s="73">
        <f t="shared" si="13"/>
        <v>289</v>
      </c>
      <c r="B298" s="47" t="s">
        <v>608</v>
      </c>
      <c r="C298" s="10"/>
      <c r="D298" s="4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>
        <f t="shared" si="12"/>
        <v>0</v>
      </c>
    </row>
    <row r="299" spans="1:17" ht="12.75">
      <c r="A299" s="73">
        <f t="shared" si="13"/>
        <v>290</v>
      </c>
      <c r="B299" s="10" t="s">
        <v>375</v>
      </c>
      <c r="C299" s="10">
        <v>12118</v>
      </c>
      <c r="D299" s="45">
        <v>16</v>
      </c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>
        <f t="shared" si="12"/>
        <v>0</v>
      </c>
    </row>
    <row r="300" spans="1:17" ht="12.75">
      <c r="A300" s="73">
        <f t="shared" si="13"/>
        <v>291</v>
      </c>
      <c r="B300" s="10" t="s">
        <v>376</v>
      </c>
      <c r="C300" s="10">
        <v>12119</v>
      </c>
      <c r="D300" s="45" t="s">
        <v>584</v>
      </c>
      <c r="E300" s="46"/>
      <c r="F300" s="43"/>
      <c r="G300" s="43"/>
      <c r="H300" s="43"/>
      <c r="I300" s="43"/>
      <c r="J300" s="43"/>
      <c r="K300" s="43"/>
      <c r="L300" s="43"/>
      <c r="M300" s="46"/>
      <c r="N300" s="46"/>
      <c r="O300" s="46"/>
      <c r="P300" s="46"/>
      <c r="Q300" s="43">
        <f t="shared" si="12"/>
        <v>0</v>
      </c>
    </row>
    <row r="301" spans="1:17" ht="12.75">
      <c r="A301" s="73">
        <f t="shared" si="13"/>
        <v>292</v>
      </c>
      <c r="B301" s="9" t="s">
        <v>377</v>
      </c>
      <c r="C301" s="9">
        <v>11162</v>
      </c>
      <c r="D301" s="31" t="s">
        <v>588</v>
      </c>
      <c r="E301" s="20">
        <v>2017.62</v>
      </c>
      <c r="F301" s="20">
        <v>2407.84</v>
      </c>
      <c r="G301" s="20"/>
      <c r="H301" s="20"/>
      <c r="I301" s="20"/>
      <c r="J301" s="20"/>
      <c r="K301" s="22"/>
      <c r="L301" s="20"/>
      <c r="M301" s="20"/>
      <c r="N301" s="20"/>
      <c r="O301" s="20"/>
      <c r="P301" s="20"/>
      <c r="Q301" s="20">
        <f t="shared" si="12"/>
        <v>4425.46</v>
      </c>
    </row>
    <row r="302" spans="1:17" ht="12.75">
      <c r="A302" s="73">
        <f t="shared" si="13"/>
        <v>293</v>
      </c>
      <c r="B302" s="9" t="s">
        <v>378</v>
      </c>
      <c r="C302" s="9">
        <v>11163</v>
      </c>
      <c r="D302" s="31" t="s">
        <v>588</v>
      </c>
      <c r="E302" s="20">
        <v>2013.14</v>
      </c>
      <c r="F302" s="20">
        <v>1973.31</v>
      </c>
      <c r="G302" s="20"/>
      <c r="H302" s="20"/>
      <c r="I302" s="20"/>
      <c r="J302" s="20"/>
      <c r="K302" s="22"/>
      <c r="L302" s="20"/>
      <c r="M302" s="20"/>
      <c r="N302" s="20"/>
      <c r="O302" s="20"/>
      <c r="P302" s="20"/>
      <c r="Q302" s="20">
        <f t="shared" si="12"/>
        <v>3986.45</v>
      </c>
    </row>
    <row r="303" spans="1:17" ht="12.75">
      <c r="A303" s="73">
        <f t="shared" si="13"/>
        <v>294</v>
      </c>
      <c r="B303" s="9" t="s">
        <v>379</v>
      </c>
      <c r="C303" s="9">
        <v>11164</v>
      </c>
      <c r="D303" s="31" t="s">
        <v>588</v>
      </c>
      <c r="E303" s="20">
        <v>2606.16</v>
      </c>
      <c r="F303" s="20">
        <v>2869.84</v>
      </c>
      <c r="G303" s="20"/>
      <c r="H303" s="20"/>
      <c r="I303" s="20"/>
      <c r="J303" s="20"/>
      <c r="K303" s="22"/>
      <c r="L303" s="20"/>
      <c r="M303" s="20"/>
      <c r="N303" s="20"/>
      <c r="O303" s="20"/>
      <c r="P303" s="20"/>
      <c r="Q303" s="20">
        <f t="shared" si="12"/>
        <v>5476</v>
      </c>
    </row>
    <row r="304" spans="1:231" s="44" customFormat="1" ht="12.75">
      <c r="A304" s="73">
        <f t="shared" si="13"/>
        <v>295</v>
      </c>
      <c r="B304" s="9" t="s">
        <v>380</v>
      </c>
      <c r="C304" s="9">
        <v>12642</v>
      </c>
      <c r="D304" s="17">
        <v>15</v>
      </c>
      <c r="E304" s="22">
        <f>ROUND(0.04*521.42,0)*3.53*15</f>
        <v>1111.9499999999998</v>
      </c>
      <c r="F304" s="22">
        <f>ROUND(0.04*409.08,0)*3.53*15</f>
        <v>847.1999999999999</v>
      </c>
      <c r="G304" s="22">
        <f>ROUND(0.04*366.33,0)*3.53*15</f>
        <v>794.2499999999999</v>
      </c>
      <c r="H304" s="22">
        <f>ROUND(0.04*254.17,0)*3.53*15</f>
        <v>529.5</v>
      </c>
      <c r="I304" s="20"/>
      <c r="J304" s="20"/>
      <c r="K304" s="22"/>
      <c r="L304" s="22"/>
      <c r="M304" s="22"/>
      <c r="N304" s="22"/>
      <c r="O304" s="22"/>
      <c r="P304" s="22"/>
      <c r="Q304" s="20">
        <f t="shared" si="12"/>
        <v>3282.8999999999996</v>
      </c>
      <c r="R304" s="34"/>
      <c r="S304" s="34"/>
      <c r="T304" s="34"/>
      <c r="U304" s="34"/>
      <c r="V304" s="34"/>
      <c r="W304" s="34"/>
      <c r="X304" s="34"/>
      <c r="Y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</row>
    <row r="305" spans="1:17" ht="12.75">
      <c r="A305" s="73">
        <f t="shared" si="13"/>
        <v>296</v>
      </c>
      <c r="B305" s="10" t="s">
        <v>381</v>
      </c>
      <c r="C305" s="10">
        <v>12640</v>
      </c>
      <c r="D305" s="45" t="s">
        <v>584</v>
      </c>
      <c r="E305" s="46"/>
      <c r="F305" s="43"/>
      <c r="G305" s="43"/>
      <c r="H305" s="43"/>
      <c r="I305" s="43"/>
      <c r="J305" s="43"/>
      <c r="K305" s="43"/>
      <c r="L305" s="43"/>
      <c r="M305" s="46"/>
      <c r="N305" s="46"/>
      <c r="O305" s="46"/>
      <c r="P305" s="46"/>
      <c r="Q305" s="43">
        <f t="shared" si="12"/>
        <v>0</v>
      </c>
    </row>
    <row r="306" spans="1:231" s="44" customFormat="1" ht="12.75">
      <c r="A306" s="73">
        <f t="shared" si="13"/>
        <v>297</v>
      </c>
      <c r="B306" s="9" t="s">
        <v>382</v>
      </c>
      <c r="C306" s="9">
        <v>21678</v>
      </c>
      <c r="D306" s="17" t="s">
        <v>585</v>
      </c>
      <c r="E306" s="20">
        <v>166.32</v>
      </c>
      <c r="F306" s="20">
        <v>164.18</v>
      </c>
      <c r="G306" s="20"/>
      <c r="H306" s="20"/>
      <c r="I306" s="20"/>
      <c r="J306" s="20"/>
      <c r="K306" s="22"/>
      <c r="L306" s="20"/>
      <c r="M306" s="20"/>
      <c r="N306" s="20"/>
      <c r="O306" s="20"/>
      <c r="P306" s="20"/>
      <c r="Q306" s="20">
        <f t="shared" si="12"/>
        <v>330.5</v>
      </c>
      <c r="R306" s="34"/>
      <c r="S306" s="34"/>
      <c r="T306" s="34"/>
      <c r="U306" s="34"/>
      <c r="V306" s="34"/>
      <c r="W306" s="34"/>
      <c r="X306" s="34"/>
      <c r="Y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</row>
    <row r="307" spans="1:17" ht="12.75">
      <c r="A307" s="73">
        <f t="shared" si="13"/>
        <v>298</v>
      </c>
      <c r="B307" s="9" t="s">
        <v>383</v>
      </c>
      <c r="C307" s="9">
        <v>21675</v>
      </c>
      <c r="D307" s="17" t="s">
        <v>585</v>
      </c>
      <c r="E307" s="20">
        <v>62.54</v>
      </c>
      <c r="F307" s="20">
        <v>64.68</v>
      </c>
      <c r="G307" s="20"/>
      <c r="H307" s="20"/>
      <c r="I307" s="20"/>
      <c r="J307" s="20"/>
      <c r="K307" s="22"/>
      <c r="L307" s="20"/>
      <c r="M307" s="20"/>
      <c r="N307" s="20"/>
      <c r="O307" s="20"/>
      <c r="P307" s="20"/>
      <c r="Q307" s="20">
        <f t="shared" si="12"/>
        <v>127.22</v>
      </c>
    </row>
    <row r="308" spans="1:17" ht="12.75">
      <c r="A308" s="73">
        <f t="shared" si="13"/>
        <v>299</v>
      </c>
      <c r="B308" s="9" t="s">
        <v>384</v>
      </c>
      <c r="C308" s="9">
        <v>21676</v>
      </c>
      <c r="D308" s="17" t="s">
        <v>585</v>
      </c>
      <c r="E308" s="20">
        <v>144.29</v>
      </c>
      <c r="F308" s="20">
        <v>151.39</v>
      </c>
      <c r="G308" s="20"/>
      <c r="H308" s="20"/>
      <c r="I308" s="20"/>
      <c r="J308" s="20"/>
      <c r="K308" s="22"/>
      <c r="L308" s="20"/>
      <c r="M308" s="20"/>
      <c r="N308" s="20"/>
      <c r="O308" s="20"/>
      <c r="P308" s="20"/>
      <c r="Q308" s="20">
        <f aca="true" t="shared" si="14" ref="Q308:Q372">E308+F308+G308+H308+I308+J308+K308+L308+M308+N308+O308+P308</f>
        <v>295.67999999999995</v>
      </c>
    </row>
    <row r="309" spans="1:17" ht="12.75">
      <c r="A309" s="73">
        <f t="shared" si="13"/>
        <v>300</v>
      </c>
      <c r="B309" s="9" t="s">
        <v>385</v>
      </c>
      <c r="C309" s="9">
        <v>21677</v>
      </c>
      <c r="D309" s="17" t="s">
        <v>585</v>
      </c>
      <c r="E309" s="20">
        <v>27.72</v>
      </c>
      <c r="F309" s="20">
        <v>24.17</v>
      </c>
      <c r="G309" s="20"/>
      <c r="H309" s="20"/>
      <c r="I309" s="20"/>
      <c r="J309" s="20"/>
      <c r="K309" s="22"/>
      <c r="L309" s="20"/>
      <c r="M309" s="20"/>
      <c r="N309" s="20"/>
      <c r="O309" s="20"/>
      <c r="P309" s="20"/>
      <c r="Q309" s="20">
        <f t="shared" si="14"/>
        <v>51.89</v>
      </c>
    </row>
    <row r="310" spans="1:17" ht="12.75">
      <c r="A310" s="73">
        <f t="shared" si="13"/>
        <v>301</v>
      </c>
      <c r="B310" s="9" t="s">
        <v>386</v>
      </c>
      <c r="C310" s="9">
        <v>22454</v>
      </c>
      <c r="D310" s="17" t="s">
        <v>714</v>
      </c>
      <c r="E310" s="22">
        <v>2880.86</v>
      </c>
      <c r="F310" s="22"/>
      <c r="G310" s="22"/>
      <c r="H310" s="22"/>
      <c r="I310" s="20"/>
      <c r="J310" s="20"/>
      <c r="K310" s="22"/>
      <c r="L310" s="22"/>
      <c r="M310" s="22"/>
      <c r="N310" s="22"/>
      <c r="O310" s="22"/>
      <c r="P310" s="22"/>
      <c r="Q310" s="20">
        <f t="shared" si="14"/>
        <v>2880.86</v>
      </c>
    </row>
    <row r="311" spans="1:17" ht="12.75">
      <c r="A311" s="73">
        <f t="shared" si="13"/>
        <v>302</v>
      </c>
      <c r="B311" s="9" t="s">
        <v>387</v>
      </c>
      <c r="C311" s="9">
        <v>22457</v>
      </c>
      <c r="D311" s="17">
        <v>8</v>
      </c>
      <c r="E311" s="22">
        <f>ROUND(0.04*521.42,0)*3.53*8</f>
        <v>593.04</v>
      </c>
      <c r="F311" s="22">
        <f>ROUND(0.04*409.08,0)*3.53*8</f>
        <v>451.84</v>
      </c>
      <c r="G311" s="22">
        <f>ROUND(0.04*366.33,0)*3.53*8</f>
        <v>423.59999999999997</v>
      </c>
      <c r="H311" s="22">
        <f>ROUND(0.04*254.17,0)*3.53*8</f>
        <v>282.4</v>
      </c>
      <c r="I311" s="20"/>
      <c r="J311" s="20"/>
      <c r="K311" s="22"/>
      <c r="L311" s="22"/>
      <c r="M311" s="22"/>
      <c r="N311" s="22"/>
      <c r="O311" s="22"/>
      <c r="P311" s="22"/>
      <c r="Q311" s="20">
        <f t="shared" si="14"/>
        <v>1750.8799999999997</v>
      </c>
    </row>
    <row r="312" spans="1:231" s="44" customFormat="1" ht="12.75">
      <c r="A312" s="73">
        <f t="shared" si="13"/>
        <v>303</v>
      </c>
      <c r="B312" s="9" t="s">
        <v>388</v>
      </c>
      <c r="C312" s="9">
        <v>22459</v>
      </c>
      <c r="D312" s="17">
        <v>0</v>
      </c>
      <c r="E312" s="20"/>
      <c r="F312" s="20"/>
      <c r="G312" s="20"/>
      <c r="H312" s="20"/>
      <c r="I312" s="20"/>
      <c r="J312" s="20"/>
      <c r="K312" s="22"/>
      <c r="L312" s="20"/>
      <c r="M312" s="20"/>
      <c r="N312" s="20"/>
      <c r="O312" s="20"/>
      <c r="P312" s="20"/>
      <c r="Q312" s="20">
        <f t="shared" si="14"/>
        <v>0</v>
      </c>
      <c r="R312" s="34"/>
      <c r="S312" s="34"/>
      <c r="T312" s="34"/>
      <c r="U312" s="34"/>
      <c r="V312" s="34"/>
      <c r="W312" s="34"/>
      <c r="X312" s="34"/>
      <c r="Y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</row>
    <row r="313" spans="1:17" ht="12.75">
      <c r="A313" s="73">
        <f t="shared" si="13"/>
        <v>304</v>
      </c>
      <c r="B313" s="9" t="s">
        <v>389</v>
      </c>
      <c r="C313" s="9">
        <v>22458</v>
      </c>
      <c r="D313" s="17">
        <v>12</v>
      </c>
      <c r="E313" s="22">
        <f>ROUND(0.04*521.42,0)*3.53*12</f>
        <v>889.56</v>
      </c>
      <c r="F313" s="22">
        <f>ROUND(0.04*409.08,0)*3.53*12</f>
        <v>677.76</v>
      </c>
      <c r="G313" s="22">
        <f>ROUND(0.04*366.33,0)*3.53*12</f>
        <v>635.4</v>
      </c>
      <c r="H313" s="22">
        <f>ROUND(0.04*254.17,0)*3.53*12</f>
        <v>423.59999999999997</v>
      </c>
      <c r="I313" s="20"/>
      <c r="J313" s="20"/>
      <c r="K313" s="22"/>
      <c r="L313" s="22"/>
      <c r="M313" s="22"/>
      <c r="N313" s="22"/>
      <c r="O313" s="22"/>
      <c r="P313" s="22"/>
      <c r="Q313" s="20">
        <f t="shared" si="14"/>
        <v>2626.3199999999997</v>
      </c>
    </row>
    <row r="314" spans="1:17" ht="12.75">
      <c r="A314" s="73">
        <f t="shared" si="13"/>
        <v>305</v>
      </c>
      <c r="B314" s="9" t="s">
        <v>390</v>
      </c>
      <c r="C314" s="9">
        <v>22463</v>
      </c>
      <c r="D314" s="26" t="s">
        <v>587</v>
      </c>
      <c r="E314" s="20"/>
      <c r="F314" s="20"/>
      <c r="G314" s="20"/>
      <c r="H314" s="20"/>
      <c r="I314" s="20"/>
      <c r="J314" s="20"/>
      <c r="K314" s="22"/>
      <c r="L314" s="20"/>
      <c r="M314" s="20"/>
      <c r="N314" s="20"/>
      <c r="O314" s="20"/>
      <c r="P314" s="20"/>
      <c r="Q314" s="20">
        <f t="shared" si="14"/>
        <v>0</v>
      </c>
    </row>
    <row r="315" spans="1:17" ht="12.75">
      <c r="A315" s="73">
        <f t="shared" si="13"/>
        <v>306</v>
      </c>
      <c r="B315" s="9" t="s">
        <v>391</v>
      </c>
      <c r="C315" s="9">
        <v>21421</v>
      </c>
      <c r="D315" s="17">
        <v>2</v>
      </c>
      <c r="E315" s="22">
        <f>ROUND(0.04*521.42,0)*3.53*2</f>
        <v>148.26</v>
      </c>
      <c r="F315" s="22">
        <f>ROUND(0.04*409.08,0)*3.53*2</f>
        <v>112.96</v>
      </c>
      <c r="G315" s="22">
        <f>ROUND(0.04*366.33,0)*3.53*2</f>
        <v>105.89999999999999</v>
      </c>
      <c r="H315" s="22">
        <f>ROUND(0.04*254.17,0)*3.53*2</f>
        <v>70.6</v>
      </c>
      <c r="I315" s="22"/>
      <c r="J315" s="20"/>
      <c r="K315" s="22"/>
      <c r="L315" s="22"/>
      <c r="M315" s="22"/>
      <c r="N315" s="22"/>
      <c r="O315" s="22"/>
      <c r="P315" s="22"/>
      <c r="Q315" s="20">
        <f t="shared" si="14"/>
        <v>437.7199999999999</v>
      </c>
    </row>
    <row r="316" spans="1:17" ht="12.75">
      <c r="A316" s="73">
        <f t="shared" si="13"/>
        <v>307</v>
      </c>
      <c r="B316" s="9" t="s">
        <v>392</v>
      </c>
      <c r="C316" s="9">
        <v>21684</v>
      </c>
      <c r="D316" s="17">
        <v>2</v>
      </c>
      <c r="E316" s="22">
        <f>ROUND(0.04*521.42,0)*3.53*2</f>
        <v>148.26</v>
      </c>
      <c r="F316" s="22">
        <f>ROUND(0.04*409.08,0)*3.53*2</f>
        <v>112.96</v>
      </c>
      <c r="G316" s="22">
        <f>ROUND(0.04*366.33,0)*3.53*2</f>
        <v>105.89999999999999</v>
      </c>
      <c r="H316" s="22">
        <f>ROUND(0.04*254.17,0)*3.53*2</f>
        <v>70.6</v>
      </c>
      <c r="I316" s="22"/>
      <c r="J316" s="20"/>
      <c r="K316" s="22"/>
      <c r="L316" s="22"/>
      <c r="M316" s="22"/>
      <c r="N316" s="22"/>
      <c r="O316" s="22"/>
      <c r="P316" s="22"/>
      <c r="Q316" s="20">
        <f t="shared" si="14"/>
        <v>437.7199999999999</v>
      </c>
    </row>
    <row r="317" spans="1:17" ht="12.75">
      <c r="A317" s="73">
        <f t="shared" si="13"/>
        <v>308</v>
      </c>
      <c r="B317" s="10" t="s">
        <v>393</v>
      </c>
      <c r="C317" s="10">
        <v>12120</v>
      </c>
      <c r="D317" s="45">
        <v>14</v>
      </c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>
        <f t="shared" si="14"/>
        <v>0</v>
      </c>
    </row>
    <row r="318" spans="1:17" ht="12.75">
      <c r="A318" s="73">
        <f t="shared" si="13"/>
        <v>309</v>
      </c>
      <c r="B318" s="10" t="s">
        <v>394</v>
      </c>
      <c r="C318" s="10">
        <v>21429</v>
      </c>
      <c r="D318" s="45" t="s">
        <v>584</v>
      </c>
      <c r="E318" s="46"/>
      <c r="F318" s="46"/>
      <c r="G318" s="46"/>
      <c r="H318" s="46"/>
      <c r="I318" s="43"/>
      <c r="J318" s="43"/>
      <c r="K318" s="43"/>
      <c r="L318" s="43"/>
      <c r="M318" s="46"/>
      <c r="N318" s="46"/>
      <c r="O318" s="46"/>
      <c r="P318" s="46"/>
      <c r="Q318" s="43">
        <f t="shared" si="14"/>
        <v>0</v>
      </c>
    </row>
    <row r="319" spans="1:17" ht="12.75">
      <c r="A319" s="73">
        <f t="shared" si="13"/>
        <v>310</v>
      </c>
      <c r="B319" s="9" t="s">
        <v>395</v>
      </c>
      <c r="C319" s="9">
        <v>12122</v>
      </c>
      <c r="D319" s="17" t="s">
        <v>584</v>
      </c>
      <c r="E319" s="21"/>
      <c r="F319" s="21"/>
      <c r="G319" s="96">
        <f>ROUND(0.04*366.33,0)*3.53*4</f>
        <v>211.79999999999998</v>
      </c>
      <c r="H319" s="96">
        <f>ROUND(0.04*254.17,0)*3.53*4</f>
        <v>141.2</v>
      </c>
      <c r="I319" s="20"/>
      <c r="J319" s="20"/>
      <c r="K319" s="22"/>
      <c r="L319" s="20"/>
      <c r="M319" s="21"/>
      <c r="N319" s="21"/>
      <c r="O319" s="21"/>
      <c r="P319" s="21"/>
      <c r="Q319" s="20">
        <f t="shared" si="14"/>
        <v>353</v>
      </c>
    </row>
    <row r="320" spans="1:17" ht="12.75">
      <c r="A320" s="73">
        <f t="shared" si="13"/>
        <v>311</v>
      </c>
      <c r="B320" s="9" t="s">
        <v>396</v>
      </c>
      <c r="C320" s="9">
        <v>12127</v>
      </c>
      <c r="D320" s="17">
        <v>5</v>
      </c>
      <c r="E320" s="22">
        <f>ROUND(0.04*521.42,0)*3.53*5</f>
        <v>370.65</v>
      </c>
      <c r="F320" s="22">
        <f>ROUND(0.04*409.08,0)*3.53*5</f>
        <v>282.4</v>
      </c>
      <c r="G320" s="22">
        <f>ROUND(0.04*366.33,0)*3.53*5</f>
        <v>264.75</v>
      </c>
      <c r="H320" s="22">
        <f>ROUND(0.04*254.17,0)*3.53*5</f>
        <v>176.5</v>
      </c>
      <c r="I320" s="20"/>
      <c r="J320" s="20"/>
      <c r="K320" s="22"/>
      <c r="L320" s="22"/>
      <c r="M320" s="22"/>
      <c r="N320" s="22"/>
      <c r="O320" s="22"/>
      <c r="P320" s="22"/>
      <c r="Q320" s="20">
        <f t="shared" si="14"/>
        <v>1094.3</v>
      </c>
    </row>
    <row r="321" spans="1:17" ht="12.75">
      <c r="A321" s="73">
        <f t="shared" si="13"/>
        <v>312</v>
      </c>
      <c r="B321" s="10" t="s">
        <v>397</v>
      </c>
      <c r="C321" s="10">
        <v>21432</v>
      </c>
      <c r="D321" s="45">
        <v>0</v>
      </c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>
        <f t="shared" si="14"/>
        <v>0</v>
      </c>
    </row>
    <row r="322" spans="1:17" ht="12.75">
      <c r="A322" s="73">
        <f t="shared" si="13"/>
        <v>313</v>
      </c>
      <c r="B322" s="9" t="s">
        <v>398</v>
      </c>
      <c r="C322" s="9">
        <v>21433</v>
      </c>
      <c r="D322" s="17">
        <v>6</v>
      </c>
      <c r="E322" s="22">
        <f>ROUND(0.04*521.42,0)*3.53*6</f>
        <v>444.78</v>
      </c>
      <c r="F322" s="22">
        <f>ROUND(0.04*409.08,0)*3.53*6</f>
        <v>338.88</v>
      </c>
      <c r="G322" s="22">
        <f>ROUND(0.04*366.33,0)*3.53*6</f>
        <v>317.7</v>
      </c>
      <c r="H322" s="22">
        <f>ROUND(0.04*254.17,0)*3.53*6</f>
        <v>211.79999999999998</v>
      </c>
      <c r="I322" s="20"/>
      <c r="J322" s="20"/>
      <c r="K322" s="22"/>
      <c r="L322" s="22"/>
      <c r="M322" s="22"/>
      <c r="N322" s="22"/>
      <c r="O322" s="22"/>
      <c r="P322" s="22"/>
      <c r="Q322" s="20">
        <f t="shared" si="14"/>
        <v>1313.1599999999999</v>
      </c>
    </row>
    <row r="323" spans="1:17" ht="12.75">
      <c r="A323" s="73">
        <f t="shared" si="13"/>
        <v>314</v>
      </c>
      <c r="B323" s="10" t="s">
        <v>399</v>
      </c>
      <c r="C323" s="10">
        <v>12164</v>
      </c>
      <c r="D323" s="17" t="s">
        <v>585</v>
      </c>
      <c r="E323" s="20">
        <v>2194.33</v>
      </c>
      <c r="F323" s="20">
        <v>1392.72</v>
      </c>
      <c r="G323" s="20"/>
      <c r="H323" s="20"/>
      <c r="I323" s="20"/>
      <c r="J323" s="20"/>
      <c r="K323" s="22"/>
      <c r="L323" s="20"/>
      <c r="M323" s="20"/>
      <c r="N323" s="20"/>
      <c r="O323" s="20"/>
      <c r="P323" s="20"/>
      <c r="Q323" s="20">
        <f t="shared" si="14"/>
        <v>3587.05</v>
      </c>
    </row>
    <row r="324" spans="1:17" ht="12.75">
      <c r="A324" s="73">
        <f t="shared" si="13"/>
        <v>315</v>
      </c>
      <c r="B324" s="9" t="s">
        <v>400</v>
      </c>
      <c r="C324" s="9">
        <v>12138</v>
      </c>
      <c r="D324" s="17" t="s">
        <v>585</v>
      </c>
      <c r="E324" s="20">
        <v>2852.23</v>
      </c>
      <c r="F324" s="20">
        <v>1698.49</v>
      </c>
      <c r="G324" s="20"/>
      <c r="H324" s="20"/>
      <c r="I324" s="20"/>
      <c r="J324" s="20"/>
      <c r="K324" s="22"/>
      <c r="L324" s="20"/>
      <c r="M324" s="20"/>
      <c r="N324" s="20"/>
      <c r="O324" s="20"/>
      <c r="P324" s="20"/>
      <c r="Q324" s="20">
        <f t="shared" si="14"/>
        <v>4550.72</v>
      </c>
    </row>
    <row r="325" spans="1:17" ht="12.75">
      <c r="A325" s="73">
        <f t="shared" si="13"/>
        <v>316</v>
      </c>
      <c r="B325" s="9" t="s">
        <v>401</v>
      </c>
      <c r="C325" s="9">
        <v>12139</v>
      </c>
      <c r="D325" s="17" t="s">
        <v>585</v>
      </c>
      <c r="E325" s="20">
        <v>1125.24</v>
      </c>
      <c r="F325" s="20">
        <v>808.46</v>
      </c>
      <c r="G325" s="20"/>
      <c r="H325" s="20"/>
      <c r="I325" s="20"/>
      <c r="J325" s="20"/>
      <c r="K325" s="22"/>
      <c r="L325" s="20"/>
      <c r="M325" s="20"/>
      <c r="N325" s="20"/>
      <c r="O325" s="20"/>
      <c r="P325" s="20"/>
      <c r="Q325" s="20">
        <f t="shared" si="14"/>
        <v>1933.7</v>
      </c>
    </row>
    <row r="326" spans="1:17" ht="12.75">
      <c r="A326" s="73">
        <f t="shared" si="13"/>
        <v>317</v>
      </c>
      <c r="B326" s="27" t="s">
        <v>402</v>
      </c>
      <c r="C326" s="9">
        <v>12143</v>
      </c>
      <c r="D326" s="26" t="s">
        <v>583</v>
      </c>
      <c r="E326" s="20">
        <v>66590.07</v>
      </c>
      <c r="F326" s="20">
        <v>51528</v>
      </c>
      <c r="G326" s="20"/>
      <c r="H326" s="20"/>
      <c r="I326" s="20"/>
      <c r="J326" s="20"/>
      <c r="K326" s="22"/>
      <c r="L326" s="20"/>
      <c r="M326" s="20"/>
      <c r="N326" s="20"/>
      <c r="O326" s="20"/>
      <c r="P326" s="20"/>
      <c r="Q326" s="20">
        <f t="shared" si="14"/>
        <v>118118.07</v>
      </c>
    </row>
    <row r="327" spans="1:17" ht="12.75">
      <c r="A327" s="73">
        <f t="shared" si="13"/>
        <v>318</v>
      </c>
      <c r="B327" s="9" t="s">
        <v>403</v>
      </c>
      <c r="C327" s="9">
        <v>12648</v>
      </c>
      <c r="D327" s="17" t="s">
        <v>584</v>
      </c>
      <c r="E327" s="21"/>
      <c r="F327" s="20"/>
      <c r="G327" s="20"/>
      <c r="H327" s="20"/>
      <c r="I327" s="20"/>
      <c r="J327" s="20"/>
      <c r="K327" s="22"/>
      <c r="L327" s="20"/>
      <c r="M327" s="21"/>
      <c r="N327" s="21"/>
      <c r="O327" s="21"/>
      <c r="P327" s="21"/>
      <c r="Q327" s="20">
        <f t="shared" si="14"/>
        <v>0</v>
      </c>
    </row>
    <row r="328" spans="1:17" ht="12.75">
      <c r="A328" s="73">
        <f t="shared" si="13"/>
        <v>319</v>
      </c>
      <c r="B328" s="9" t="s">
        <v>404</v>
      </c>
      <c r="C328" s="9">
        <v>21831</v>
      </c>
      <c r="D328" s="17" t="s">
        <v>710</v>
      </c>
      <c r="E328" s="20">
        <v>617.09</v>
      </c>
      <c r="F328" s="20">
        <v>617.09</v>
      </c>
      <c r="G328" s="20"/>
      <c r="H328" s="20"/>
      <c r="I328" s="20"/>
      <c r="J328" s="20"/>
      <c r="K328" s="36"/>
      <c r="L328" s="39"/>
      <c r="M328" s="20"/>
      <c r="N328" s="20"/>
      <c r="O328" s="20"/>
      <c r="P328" s="20"/>
      <c r="Q328" s="20">
        <f t="shared" si="14"/>
        <v>1234.18</v>
      </c>
    </row>
    <row r="329" spans="1:17" ht="12.75">
      <c r="A329" s="73">
        <f t="shared" si="13"/>
        <v>320</v>
      </c>
      <c r="B329" s="9" t="s">
        <v>405</v>
      </c>
      <c r="C329" s="9">
        <v>12275</v>
      </c>
      <c r="D329" s="17">
        <v>6</v>
      </c>
      <c r="E329" s="22">
        <v>0</v>
      </c>
      <c r="F329" s="22">
        <v>0</v>
      </c>
      <c r="G329" s="22">
        <v>0</v>
      </c>
      <c r="H329" s="22">
        <v>1</v>
      </c>
      <c r="I329" s="20"/>
      <c r="J329" s="20"/>
      <c r="K329" s="22"/>
      <c r="L329" s="22"/>
      <c r="M329" s="22"/>
      <c r="N329" s="22"/>
      <c r="O329" s="22"/>
      <c r="P329" s="22"/>
      <c r="Q329" s="20">
        <f t="shared" si="14"/>
        <v>1</v>
      </c>
    </row>
    <row r="330" spans="1:17" ht="12.75">
      <c r="A330" s="73">
        <f t="shared" si="13"/>
        <v>321</v>
      </c>
      <c r="B330" s="9" t="s">
        <v>406</v>
      </c>
      <c r="C330" s="9">
        <v>12284</v>
      </c>
      <c r="D330" s="17">
        <v>10</v>
      </c>
      <c r="E330" s="22">
        <f>ROUND(0.04*521.42,0)*3.53*10</f>
        <v>741.3</v>
      </c>
      <c r="F330" s="22">
        <f>ROUND(0.04*409.08,0)*3.53*10</f>
        <v>564.8</v>
      </c>
      <c r="G330" s="22">
        <f>ROUND(0.04*366.33,0)*3.53*10</f>
        <v>529.5</v>
      </c>
      <c r="H330" s="22">
        <f>ROUND(0.04*254.17,0)*3.53*10</f>
        <v>353</v>
      </c>
      <c r="I330" s="20"/>
      <c r="J330" s="20"/>
      <c r="K330" s="22"/>
      <c r="L330" s="22"/>
      <c r="M330" s="22"/>
      <c r="N330" s="22"/>
      <c r="O330" s="22"/>
      <c r="P330" s="22"/>
      <c r="Q330" s="20">
        <f t="shared" si="14"/>
        <v>2188.6</v>
      </c>
    </row>
    <row r="331" spans="1:17" ht="12.75">
      <c r="A331" s="73">
        <f t="shared" si="13"/>
        <v>322</v>
      </c>
      <c r="B331" s="9" t="s">
        <v>407</v>
      </c>
      <c r="C331" s="9">
        <v>12285</v>
      </c>
      <c r="D331" s="17">
        <v>9</v>
      </c>
      <c r="E331" s="22">
        <f>ROUND(0.04*521.42,0)*3.53*9</f>
        <v>667.17</v>
      </c>
      <c r="F331" s="22">
        <f>ROUND(0.04*409.08,0)*3.53*9</f>
        <v>508.32</v>
      </c>
      <c r="G331" s="22">
        <f>ROUND(0.04*366.33,0)*3.53*9</f>
        <v>476.54999999999995</v>
      </c>
      <c r="H331" s="22">
        <f>ROUND(0.04*254.17,0)*3.53*9</f>
        <v>317.7</v>
      </c>
      <c r="I331" s="20"/>
      <c r="J331" s="20"/>
      <c r="K331" s="22"/>
      <c r="L331" s="22"/>
      <c r="M331" s="22"/>
      <c r="N331" s="22"/>
      <c r="O331" s="22"/>
      <c r="P331" s="22"/>
      <c r="Q331" s="20">
        <f t="shared" si="14"/>
        <v>1969.74</v>
      </c>
    </row>
    <row r="332" spans="1:17" ht="12.75">
      <c r="A332" s="73">
        <f aca="true" t="shared" si="15" ref="A332:A396">A331+1</f>
        <v>323</v>
      </c>
      <c r="B332" s="9" t="s">
        <v>408</v>
      </c>
      <c r="C332" s="9">
        <v>12276</v>
      </c>
      <c r="D332" s="17" t="s">
        <v>585</v>
      </c>
      <c r="E332" s="20">
        <v>634.11</v>
      </c>
      <c r="F332" s="20">
        <v>618.4</v>
      </c>
      <c r="G332" s="20"/>
      <c r="H332" s="20"/>
      <c r="I332" s="20"/>
      <c r="J332" s="20"/>
      <c r="K332" s="22"/>
      <c r="L332" s="20"/>
      <c r="M332" s="20"/>
      <c r="N332" s="20"/>
      <c r="O332" s="20"/>
      <c r="P332" s="20"/>
      <c r="Q332" s="20">
        <f t="shared" si="14"/>
        <v>1252.51</v>
      </c>
    </row>
    <row r="333" spans="1:17" ht="12.75">
      <c r="A333" s="73">
        <f t="shared" si="15"/>
        <v>324</v>
      </c>
      <c r="B333" s="9" t="s">
        <v>409</v>
      </c>
      <c r="C333" s="9">
        <v>12277</v>
      </c>
      <c r="D333" s="17" t="s">
        <v>585</v>
      </c>
      <c r="E333" s="20">
        <v>325.74</v>
      </c>
      <c r="F333" s="20">
        <v>227.65</v>
      </c>
      <c r="G333" s="20"/>
      <c r="H333" s="20"/>
      <c r="I333" s="20"/>
      <c r="J333" s="20"/>
      <c r="K333" s="22"/>
      <c r="L333" s="20"/>
      <c r="M333" s="20"/>
      <c r="N333" s="20"/>
      <c r="O333" s="20"/>
      <c r="P333" s="20"/>
      <c r="Q333" s="20">
        <f t="shared" si="14"/>
        <v>553.39</v>
      </c>
    </row>
    <row r="334" spans="1:17" ht="12.75">
      <c r="A334" s="73">
        <f t="shared" si="15"/>
        <v>325</v>
      </c>
      <c r="B334" s="9" t="s">
        <v>413</v>
      </c>
      <c r="C334" s="9">
        <v>12278</v>
      </c>
      <c r="D334" s="17">
        <v>2</v>
      </c>
      <c r="E334" s="22">
        <f>ROUND(0.04*521.42,0)*3.53*2</f>
        <v>148.26</v>
      </c>
      <c r="F334" s="22">
        <f>ROUND(0.04*409.08,0)*3.53*2</f>
        <v>112.96</v>
      </c>
      <c r="G334" s="22">
        <f>ROUND(0.04*366.33,0)*3.53*2</f>
        <v>105.89999999999999</v>
      </c>
      <c r="H334" s="22">
        <f>ROUND(0.04*254.17,0)*3.53*2</f>
        <v>70.6</v>
      </c>
      <c r="I334" s="22"/>
      <c r="J334" s="20"/>
      <c r="K334" s="22"/>
      <c r="L334" s="22"/>
      <c r="M334" s="22"/>
      <c r="N334" s="22"/>
      <c r="O334" s="22"/>
      <c r="P334" s="22"/>
      <c r="Q334" s="20">
        <f t="shared" si="14"/>
        <v>437.7199999999999</v>
      </c>
    </row>
    <row r="335" spans="1:17" ht="12.75">
      <c r="A335" s="73">
        <f t="shared" si="15"/>
        <v>326</v>
      </c>
      <c r="B335" s="9" t="s">
        <v>414</v>
      </c>
      <c r="C335" s="9">
        <v>12279</v>
      </c>
      <c r="D335" s="17">
        <v>9</v>
      </c>
      <c r="E335" s="22">
        <f>ROUND(0.04*521.42,0)*3.53*9</f>
        <v>667.17</v>
      </c>
      <c r="F335" s="22">
        <f>ROUND(0.04*409.08,0)*3.53*9</f>
        <v>508.32</v>
      </c>
      <c r="G335" s="22">
        <f>ROUND(0.04*366.33,0)*3.53*9</f>
        <v>476.54999999999995</v>
      </c>
      <c r="H335" s="22">
        <f>ROUND(0.04*254.17,0)*3.53*9</f>
        <v>317.7</v>
      </c>
      <c r="I335" s="20"/>
      <c r="J335" s="20"/>
      <c r="K335" s="22"/>
      <c r="L335" s="22"/>
      <c r="M335" s="22"/>
      <c r="N335" s="22"/>
      <c r="O335" s="22"/>
      <c r="P335" s="22"/>
      <c r="Q335" s="20">
        <f t="shared" si="14"/>
        <v>1969.74</v>
      </c>
    </row>
    <row r="336" spans="1:17" ht="12.75">
      <c r="A336" s="73">
        <f t="shared" si="15"/>
        <v>327</v>
      </c>
      <c r="B336" s="9" t="s">
        <v>415</v>
      </c>
      <c r="C336" s="9">
        <v>12280</v>
      </c>
      <c r="D336" s="17">
        <v>8</v>
      </c>
      <c r="E336" s="22">
        <f>ROUND(0.04*521.42,0)*3.53*8</f>
        <v>593.04</v>
      </c>
      <c r="F336" s="22">
        <f>ROUND(0.04*409.08,0)*3.53*8</f>
        <v>451.84</v>
      </c>
      <c r="G336" s="22">
        <f>ROUND(0.04*366.33,0)*3.53*8</f>
        <v>423.59999999999997</v>
      </c>
      <c r="H336" s="22">
        <f>ROUND(0.04*254.17,0)*3.53*8</f>
        <v>282.4</v>
      </c>
      <c r="I336" s="20"/>
      <c r="J336" s="20"/>
      <c r="K336" s="22"/>
      <c r="L336" s="22"/>
      <c r="M336" s="22"/>
      <c r="N336" s="22"/>
      <c r="O336" s="22"/>
      <c r="P336" s="22"/>
      <c r="Q336" s="20">
        <f t="shared" si="14"/>
        <v>1750.8799999999997</v>
      </c>
    </row>
    <row r="337" spans="1:17" ht="12.75">
      <c r="A337" s="73">
        <f t="shared" si="15"/>
        <v>328</v>
      </c>
      <c r="B337" s="9" t="s">
        <v>416</v>
      </c>
      <c r="C337" s="9">
        <v>12281</v>
      </c>
      <c r="D337" s="17">
        <v>9</v>
      </c>
      <c r="E337" s="22">
        <f>ROUND(0.04*521.42,0)*3.53*9</f>
        <v>667.17</v>
      </c>
      <c r="F337" s="22">
        <f>ROUND(0.04*409.08,0)*3.53*9</f>
        <v>508.32</v>
      </c>
      <c r="G337" s="22">
        <f>ROUND(0.04*366.33,0)*3.53*9</f>
        <v>476.54999999999995</v>
      </c>
      <c r="H337" s="22">
        <f>ROUND(0.04*254.17,0)*3.53*9</f>
        <v>317.7</v>
      </c>
      <c r="I337" s="20"/>
      <c r="J337" s="20"/>
      <c r="K337" s="22"/>
      <c r="L337" s="22"/>
      <c r="M337" s="22"/>
      <c r="N337" s="22"/>
      <c r="O337" s="22"/>
      <c r="P337" s="22"/>
      <c r="Q337" s="20">
        <f t="shared" si="14"/>
        <v>1969.74</v>
      </c>
    </row>
    <row r="338" spans="1:17" ht="12.75">
      <c r="A338" s="73">
        <f t="shared" si="15"/>
        <v>329</v>
      </c>
      <c r="B338" s="9" t="s">
        <v>417</v>
      </c>
      <c r="C338" s="9">
        <v>12283</v>
      </c>
      <c r="D338" s="17">
        <v>10</v>
      </c>
      <c r="E338" s="22">
        <f>ROUND(0.04*521.42,0)*3.53*10</f>
        <v>741.3</v>
      </c>
      <c r="F338" s="22">
        <f>ROUND(0.04*409.08,0)*3.53*10</f>
        <v>564.8</v>
      </c>
      <c r="G338" s="22">
        <f>ROUND(0.04*366.33,0)*3.53*10</f>
        <v>529.5</v>
      </c>
      <c r="H338" s="22">
        <f>ROUND(0.04*254.17,0)*3.53*10</f>
        <v>353</v>
      </c>
      <c r="I338" s="20"/>
      <c r="J338" s="20"/>
      <c r="K338" s="22"/>
      <c r="L338" s="22"/>
      <c r="M338" s="22"/>
      <c r="N338" s="22"/>
      <c r="O338" s="22"/>
      <c r="P338" s="22"/>
      <c r="Q338" s="20">
        <f t="shared" si="14"/>
        <v>2188.6</v>
      </c>
    </row>
    <row r="339" spans="1:17" ht="12.75">
      <c r="A339" s="73">
        <f t="shared" si="15"/>
        <v>330</v>
      </c>
      <c r="B339" s="10" t="s">
        <v>418</v>
      </c>
      <c r="C339" s="10">
        <v>21444</v>
      </c>
      <c r="D339" s="45">
        <v>3</v>
      </c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>
        <f t="shared" si="14"/>
        <v>0</v>
      </c>
    </row>
    <row r="340" spans="1:17" ht="12.75">
      <c r="A340" s="73">
        <f t="shared" si="15"/>
        <v>331</v>
      </c>
      <c r="B340" s="27" t="s">
        <v>419</v>
      </c>
      <c r="C340" s="10">
        <v>23648</v>
      </c>
      <c r="D340" s="26" t="s">
        <v>583</v>
      </c>
      <c r="E340" s="20"/>
      <c r="F340" s="20"/>
      <c r="G340" s="20"/>
      <c r="H340" s="20"/>
      <c r="I340" s="20"/>
      <c r="J340" s="20"/>
      <c r="K340" s="22"/>
      <c r="L340" s="20"/>
      <c r="M340" s="20"/>
      <c r="N340" s="20"/>
      <c r="O340" s="20"/>
      <c r="P340" s="20"/>
      <c r="Q340" s="20">
        <f t="shared" si="14"/>
        <v>0</v>
      </c>
    </row>
    <row r="341" spans="1:17" ht="12.75">
      <c r="A341" s="73">
        <f t="shared" si="15"/>
        <v>332</v>
      </c>
      <c r="B341" s="10" t="s">
        <v>420</v>
      </c>
      <c r="C341" s="10">
        <v>23020</v>
      </c>
      <c r="D341" s="45">
        <v>4</v>
      </c>
      <c r="E341" s="43">
        <f>ROUND(0.04*521.42,0)*3.53*4</f>
        <v>296.52</v>
      </c>
      <c r="F341" s="43">
        <f>ROUND(0.04*409.08,0)*3.53*4</f>
        <v>225.92</v>
      </c>
      <c r="G341" s="43">
        <f>ROUND(0.04*366.33,0)*3.53*4</f>
        <v>211.79999999999998</v>
      </c>
      <c r="H341" s="43">
        <f>ROUND(0.04*254.17,0)*3.53*4</f>
        <v>141.2</v>
      </c>
      <c r="I341" s="43"/>
      <c r="J341" s="43"/>
      <c r="K341" s="43"/>
      <c r="L341" s="43"/>
      <c r="M341" s="43"/>
      <c r="N341" s="43"/>
      <c r="O341" s="43"/>
      <c r="P341" s="43"/>
      <c r="Q341" s="43">
        <f t="shared" si="14"/>
        <v>875.4399999999998</v>
      </c>
    </row>
    <row r="342" spans="1:17" ht="12.75">
      <c r="A342" s="73">
        <f t="shared" si="15"/>
        <v>333</v>
      </c>
      <c r="B342" s="9" t="s">
        <v>421</v>
      </c>
      <c r="C342" s="9">
        <v>23010</v>
      </c>
      <c r="D342" s="17" t="s">
        <v>585</v>
      </c>
      <c r="E342" s="20">
        <v>1198.05</v>
      </c>
      <c r="F342" s="20">
        <v>1199.05</v>
      </c>
      <c r="G342" s="20"/>
      <c r="H342" s="20"/>
      <c r="I342" s="20"/>
      <c r="J342" s="20"/>
      <c r="K342" s="22"/>
      <c r="L342" s="20"/>
      <c r="M342" s="20"/>
      <c r="N342" s="20"/>
      <c r="O342" s="20"/>
      <c r="P342" s="20"/>
      <c r="Q342" s="20">
        <f t="shared" si="14"/>
        <v>2397.1</v>
      </c>
    </row>
    <row r="343" spans="1:17" ht="12.75">
      <c r="A343" s="73">
        <f t="shared" si="15"/>
        <v>334</v>
      </c>
      <c r="B343" s="9" t="s">
        <v>422</v>
      </c>
      <c r="C343" s="9">
        <v>23013</v>
      </c>
      <c r="D343" s="17" t="s">
        <v>585</v>
      </c>
      <c r="E343" s="20">
        <v>1990.12</v>
      </c>
      <c r="F343" s="20">
        <v>1533.28</v>
      </c>
      <c r="G343" s="20"/>
      <c r="H343" s="20"/>
      <c r="I343" s="20"/>
      <c r="J343" s="20"/>
      <c r="K343" s="22"/>
      <c r="L343" s="20"/>
      <c r="M343" s="20"/>
      <c r="N343" s="20"/>
      <c r="O343" s="20"/>
      <c r="P343" s="20"/>
      <c r="Q343" s="20">
        <f t="shared" si="14"/>
        <v>3523.3999999999996</v>
      </c>
    </row>
    <row r="344" spans="1:17" ht="12.75">
      <c r="A344" s="73">
        <f t="shared" si="15"/>
        <v>335</v>
      </c>
      <c r="B344" s="9" t="s">
        <v>423</v>
      </c>
      <c r="C344" s="9">
        <v>23001</v>
      </c>
      <c r="D344" s="17" t="s">
        <v>585</v>
      </c>
      <c r="E344" s="20">
        <v>706.09</v>
      </c>
      <c r="F344" s="20">
        <v>455.88</v>
      </c>
      <c r="G344" s="20"/>
      <c r="H344" s="20"/>
      <c r="I344" s="20"/>
      <c r="J344" s="20"/>
      <c r="K344" s="22"/>
      <c r="L344" s="20"/>
      <c r="M344" s="20"/>
      <c r="N344" s="20"/>
      <c r="O344" s="20"/>
      <c r="P344" s="20"/>
      <c r="Q344" s="20">
        <f t="shared" si="14"/>
        <v>1161.97</v>
      </c>
    </row>
    <row r="345" spans="1:17" ht="12.75">
      <c r="A345" s="73">
        <f t="shared" si="15"/>
        <v>336</v>
      </c>
      <c r="B345" s="9" t="s">
        <v>424</v>
      </c>
      <c r="C345" s="9">
        <v>23002</v>
      </c>
      <c r="D345" s="17" t="s">
        <v>585</v>
      </c>
      <c r="E345" s="20">
        <v>1039.89</v>
      </c>
      <c r="F345" s="20">
        <v>946.08</v>
      </c>
      <c r="G345" s="20"/>
      <c r="H345" s="20"/>
      <c r="I345" s="20"/>
      <c r="J345" s="20"/>
      <c r="K345" s="22"/>
      <c r="L345" s="20"/>
      <c r="M345" s="20"/>
      <c r="N345" s="20"/>
      <c r="O345" s="20"/>
      <c r="P345" s="20"/>
      <c r="Q345" s="20">
        <f t="shared" si="14"/>
        <v>1985.9700000000003</v>
      </c>
    </row>
    <row r="346" spans="1:17" ht="12.75">
      <c r="A346" s="73">
        <f t="shared" si="15"/>
        <v>337</v>
      </c>
      <c r="B346" s="9" t="s">
        <v>425</v>
      </c>
      <c r="C346" s="9">
        <v>23003</v>
      </c>
      <c r="D346" s="17" t="s">
        <v>585</v>
      </c>
      <c r="E346" s="20">
        <v>950.56</v>
      </c>
      <c r="F346" s="20">
        <v>691.16</v>
      </c>
      <c r="G346" s="20"/>
      <c r="H346" s="20"/>
      <c r="I346" s="20"/>
      <c r="J346" s="20"/>
      <c r="K346" s="22"/>
      <c r="L346" s="20"/>
      <c r="M346" s="20"/>
      <c r="N346" s="20"/>
      <c r="O346" s="20"/>
      <c r="P346" s="20"/>
      <c r="Q346" s="20">
        <f t="shared" si="14"/>
        <v>1641.7199999999998</v>
      </c>
    </row>
    <row r="347" spans="1:17" ht="12.75">
      <c r="A347" s="73">
        <f t="shared" si="15"/>
        <v>338</v>
      </c>
      <c r="B347" s="9" t="s">
        <v>565</v>
      </c>
      <c r="C347" s="11">
        <v>23004</v>
      </c>
      <c r="D347" s="17" t="s">
        <v>585</v>
      </c>
      <c r="E347" s="20">
        <v>1328.72</v>
      </c>
      <c r="F347" s="20">
        <v>886.61</v>
      </c>
      <c r="G347" s="20"/>
      <c r="H347" s="20"/>
      <c r="I347" s="20"/>
      <c r="J347" s="20"/>
      <c r="K347" s="22"/>
      <c r="L347" s="20"/>
      <c r="M347" s="20"/>
      <c r="N347" s="20"/>
      <c r="O347" s="20"/>
      <c r="P347" s="20"/>
      <c r="Q347" s="20">
        <f t="shared" si="14"/>
        <v>2215.33</v>
      </c>
    </row>
    <row r="348" spans="1:17" ht="12.75">
      <c r="A348" s="73">
        <f t="shared" si="15"/>
        <v>339</v>
      </c>
      <c r="B348" s="9" t="s">
        <v>426</v>
      </c>
      <c r="C348" s="9">
        <v>21819</v>
      </c>
      <c r="D348" s="31" t="s">
        <v>588</v>
      </c>
      <c r="E348" s="20">
        <v>15243.76</v>
      </c>
      <c r="F348" s="20">
        <v>2197.92</v>
      </c>
      <c r="G348" s="20"/>
      <c r="H348" s="20"/>
      <c r="I348" s="20"/>
      <c r="J348" s="20"/>
      <c r="K348" s="22"/>
      <c r="L348" s="20"/>
      <c r="M348" s="20"/>
      <c r="N348" s="20"/>
      <c r="O348" s="20"/>
      <c r="P348" s="20"/>
      <c r="Q348" s="20">
        <f t="shared" si="14"/>
        <v>17441.68</v>
      </c>
    </row>
    <row r="349" spans="1:231" s="44" customFormat="1" ht="12.75">
      <c r="A349" s="73">
        <f t="shared" si="15"/>
        <v>340</v>
      </c>
      <c r="B349" s="9" t="s">
        <v>427</v>
      </c>
      <c r="C349" s="9">
        <v>21812</v>
      </c>
      <c r="D349" s="31" t="s">
        <v>588</v>
      </c>
      <c r="E349" s="20">
        <v>3548.85</v>
      </c>
      <c r="F349" s="88">
        <v>2691.82</v>
      </c>
      <c r="G349" s="88"/>
      <c r="H349" s="88"/>
      <c r="I349" s="20"/>
      <c r="J349" s="20"/>
      <c r="K349" s="22"/>
      <c r="L349" s="20"/>
      <c r="M349" s="20"/>
      <c r="N349" s="20"/>
      <c r="O349" s="20"/>
      <c r="P349" s="20"/>
      <c r="Q349" s="20">
        <f t="shared" si="14"/>
        <v>6240.67</v>
      </c>
      <c r="R349" s="34"/>
      <c r="S349" s="34"/>
      <c r="T349" s="34"/>
      <c r="U349" s="34"/>
      <c r="V349" s="34"/>
      <c r="W349" s="34"/>
      <c r="X349" s="34"/>
      <c r="Y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</row>
    <row r="350" spans="1:17" ht="12.75">
      <c r="A350" s="73">
        <f t="shared" si="15"/>
        <v>341</v>
      </c>
      <c r="B350" s="9" t="s">
        <v>428</v>
      </c>
      <c r="C350" s="9">
        <v>21448</v>
      </c>
      <c r="D350" s="17" t="s">
        <v>585</v>
      </c>
      <c r="E350" s="20">
        <v>22467.94</v>
      </c>
      <c r="F350" s="20">
        <v>2253.98</v>
      </c>
      <c r="G350" s="20"/>
      <c r="H350" s="20"/>
      <c r="I350" s="20"/>
      <c r="J350" s="20"/>
      <c r="K350" s="22"/>
      <c r="L350" s="20"/>
      <c r="M350" s="20"/>
      <c r="N350" s="20"/>
      <c r="O350" s="20"/>
      <c r="P350" s="20"/>
      <c r="Q350" s="20">
        <f t="shared" si="14"/>
        <v>24721.92</v>
      </c>
    </row>
    <row r="351" spans="1:231" s="44" customFormat="1" ht="12.75">
      <c r="A351" s="73">
        <f t="shared" si="15"/>
        <v>342</v>
      </c>
      <c r="B351" s="9" t="s">
        <v>429</v>
      </c>
      <c r="C351" s="9">
        <v>21451</v>
      </c>
      <c r="D351" s="17">
        <v>4</v>
      </c>
      <c r="E351" s="22">
        <f>ROUND(0.04*521.42,0)*3.53*4</f>
        <v>296.52</v>
      </c>
      <c r="F351" s="22">
        <f>ROUND(0.04*409.08,0)*3.53*4</f>
        <v>225.92</v>
      </c>
      <c r="G351" s="22">
        <f>ROUND(0.04*366.33,0)*3.53*4</f>
        <v>211.79999999999998</v>
      </c>
      <c r="H351" s="22">
        <f>ROUND(0.04*254.17,0)*3.53*4</f>
        <v>141.2</v>
      </c>
      <c r="I351" s="20"/>
      <c r="J351" s="20"/>
      <c r="K351" s="22"/>
      <c r="L351" s="22"/>
      <c r="M351" s="22"/>
      <c r="N351" s="22"/>
      <c r="O351" s="22"/>
      <c r="P351" s="22"/>
      <c r="Q351" s="20">
        <f t="shared" si="14"/>
        <v>875.4399999999998</v>
      </c>
      <c r="R351" s="34"/>
      <c r="S351" s="34"/>
      <c r="T351" s="34"/>
      <c r="U351" s="34"/>
      <c r="V351" s="34"/>
      <c r="W351" s="34"/>
      <c r="X351" s="34"/>
      <c r="Y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</row>
    <row r="352" spans="1:17" ht="12.75">
      <c r="A352" s="73">
        <f t="shared" si="15"/>
        <v>343</v>
      </c>
      <c r="B352" s="9" t="s">
        <v>430</v>
      </c>
      <c r="C352" s="9">
        <v>21449</v>
      </c>
      <c r="D352" s="17">
        <v>2</v>
      </c>
      <c r="E352" s="22">
        <f>ROUND(0.04*521.42,0)*3.53*2</f>
        <v>148.26</v>
      </c>
      <c r="F352" s="22">
        <f>ROUND(0.04*409.08,0)*3.53*2</f>
        <v>112.96</v>
      </c>
      <c r="G352" s="22">
        <f>ROUND(0.04*366.33,0)*3.53*2</f>
        <v>105.89999999999999</v>
      </c>
      <c r="H352" s="22">
        <f>ROUND(0.04*254.17,0)*3.53*2</f>
        <v>70.6</v>
      </c>
      <c r="I352" s="22"/>
      <c r="J352" s="20"/>
      <c r="K352" s="22"/>
      <c r="L352" s="22"/>
      <c r="M352" s="22"/>
      <c r="N352" s="22"/>
      <c r="O352" s="22"/>
      <c r="P352" s="22"/>
      <c r="Q352" s="20">
        <f t="shared" si="14"/>
        <v>437.7199999999999</v>
      </c>
    </row>
    <row r="353" spans="1:231" s="44" customFormat="1" ht="12.75">
      <c r="A353" s="73">
        <f t="shared" si="15"/>
        <v>344</v>
      </c>
      <c r="B353" s="9" t="s">
        <v>431</v>
      </c>
      <c r="C353" s="9">
        <v>21463</v>
      </c>
      <c r="D353" s="17">
        <v>35</v>
      </c>
      <c r="E353" s="20">
        <v>1176.45</v>
      </c>
      <c r="F353" s="20">
        <v>394.55</v>
      </c>
      <c r="G353" s="20"/>
      <c r="H353" s="20"/>
      <c r="I353" s="20"/>
      <c r="J353" s="20"/>
      <c r="K353" s="36"/>
      <c r="L353" s="20"/>
      <c r="M353" s="20"/>
      <c r="N353" s="20"/>
      <c r="O353" s="20"/>
      <c r="P353" s="20"/>
      <c r="Q353" s="20">
        <f t="shared" si="14"/>
        <v>1571</v>
      </c>
      <c r="R353" s="34"/>
      <c r="S353" s="34"/>
      <c r="T353" s="34"/>
      <c r="U353" s="34"/>
      <c r="V353" s="34"/>
      <c r="W353" s="34"/>
      <c r="X353" s="34"/>
      <c r="Y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</row>
    <row r="354" spans="1:17" ht="12.75">
      <c r="A354" s="73">
        <f t="shared" si="15"/>
        <v>345</v>
      </c>
      <c r="B354" s="25" t="s">
        <v>599</v>
      </c>
      <c r="C354" s="83"/>
      <c r="D354" s="17" t="s">
        <v>585</v>
      </c>
      <c r="E354" s="20">
        <v>7658.38</v>
      </c>
      <c r="F354" s="20">
        <v>7639.9</v>
      </c>
      <c r="G354" s="20"/>
      <c r="H354" s="20"/>
      <c r="I354" s="20"/>
      <c r="J354" s="20"/>
      <c r="K354" s="22"/>
      <c r="L354" s="20"/>
      <c r="M354" s="20"/>
      <c r="N354" s="20"/>
      <c r="O354" s="20"/>
      <c r="P354" s="20"/>
      <c r="Q354" s="20">
        <f t="shared" si="14"/>
        <v>15298.279999999999</v>
      </c>
    </row>
    <row r="355" spans="1:17" ht="12.75">
      <c r="A355" s="73">
        <f t="shared" si="15"/>
        <v>346</v>
      </c>
      <c r="B355" s="10" t="s">
        <v>564</v>
      </c>
      <c r="C355" s="10">
        <v>10009</v>
      </c>
      <c r="D355" s="45" t="s">
        <v>584</v>
      </c>
      <c r="E355" s="46"/>
      <c r="F355" s="43"/>
      <c r="G355" s="43"/>
      <c r="H355" s="43"/>
      <c r="I355" s="43"/>
      <c r="J355" s="43"/>
      <c r="K355" s="43"/>
      <c r="L355" s="43"/>
      <c r="M355" s="46"/>
      <c r="N355" s="46"/>
      <c r="O355" s="46"/>
      <c r="P355" s="46"/>
      <c r="Q355" s="43">
        <f t="shared" si="14"/>
        <v>0</v>
      </c>
    </row>
    <row r="356" spans="1:17" ht="12.75">
      <c r="A356" s="73">
        <f t="shared" si="15"/>
        <v>347</v>
      </c>
      <c r="B356" s="48" t="s">
        <v>432</v>
      </c>
      <c r="C356" s="10">
        <v>10015</v>
      </c>
      <c r="D356" s="49" t="s">
        <v>584</v>
      </c>
      <c r="E356" s="43">
        <v>0</v>
      </c>
      <c r="F356" s="43"/>
      <c r="G356" s="43"/>
      <c r="H356" s="43"/>
      <c r="I356" s="43">
        <v>4</v>
      </c>
      <c r="J356" s="43">
        <v>5</v>
      </c>
      <c r="K356" s="43">
        <v>6</v>
      </c>
      <c r="L356" s="43">
        <v>7</v>
      </c>
      <c r="M356" s="43">
        <v>8</v>
      </c>
      <c r="N356" s="43">
        <v>9</v>
      </c>
      <c r="O356" s="43">
        <v>10</v>
      </c>
      <c r="P356" s="43">
        <v>11</v>
      </c>
      <c r="Q356" s="43">
        <f t="shared" si="14"/>
        <v>60</v>
      </c>
    </row>
    <row r="357" spans="1:231" s="44" customFormat="1" ht="12.75">
      <c r="A357" s="73">
        <f t="shared" si="15"/>
        <v>348</v>
      </c>
      <c r="B357" s="9" t="s">
        <v>433</v>
      </c>
      <c r="C357" s="9">
        <v>21457</v>
      </c>
      <c r="D357" s="17">
        <v>1</v>
      </c>
      <c r="E357" s="22">
        <f>ROUND(0.04*521.42,0)*3.53</f>
        <v>74.13</v>
      </c>
      <c r="F357" s="22">
        <f>ROUND(0.04*409.08,0)*3.53</f>
        <v>56.48</v>
      </c>
      <c r="G357" s="22">
        <f>ROUND(0.04*366.33,0)*3.53</f>
        <v>52.949999999999996</v>
      </c>
      <c r="H357" s="22">
        <f>ROUND(0.04*254.17,0)*3.53</f>
        <v>35.3</v>
      </c>
      <c r="I357" s="22">
        <f aca="true" t="shared" si="16" ref="I357:P357">ROUND(0.04*521.42,0)*3.53</f>
        <v>74.13</v>
      </c>
      <c r="J357" s="22">
        <f t="shared" si="16"/>
        <v>74.13</v>
      </c>
      <c r="K357" s="22">
        <f t="shared" si="16"/>
        <v>74.13</v>
      </c>
      <c r="L357" s="22">
        <f t="shared" si="16"/>
        <v>74.13</v>
      </c>
      <c r="M357" s="22">
        <f t="shared" si="16"/>
        <v>74.13</v>
      </c>
      <c r="N357" s="22">
        <f t="shared" si="16"/>
        <v>74.13</v>
      </c>
      <c r="O357" s="22">
        <f t="shared" si="16"/>
        <v>74.13</v>
      </c>
      <c r="P357" s="22">
        <f t="shared" si="16"/>
        <v>74.13</v>
      </c>
      <c r="Q357" s="20">
        <f t="shared" si="14"/>
        <v>811.8999999999999</v>
      </c>
      <c r="R357" s="34"/>
      <c r="S357" s="34"/>
      <c r="T357" s="34"/>
      <c r="U357" s="34"/>
      <c r="V357" s="34"/>
      <c r="W357" s="34"/>
      <c r="X357" s="34"/>
      <c r="Y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</row>
    <row r="358" spans="1:17" ht="12.75">
      <c r="A358" s="73">
        <f t="shared" si="15"/>
        <v>349</v>
      </c>
      <c r="B358" s="10" t="s">
        <v>434</v>
      </c>
      <c r="C358" s="10">
        <v>21460</v>
      </c>
      <c r="D358" s="45">
        <v>2</v>
      </c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>
        <f t="shared" si="14"/>
        <v>0</v>
      </c>
    </row>
    <row r="359" spans="1:17" ht="12.75">
      <c r="A359" s="73">
        <f t="shared" si="15"/>
        <v>350</v>
      </c>
      <c r="B359" s="9" t="s">
        <v>435</v>
      </c>
      <c r="C359" s="9">
        <v>21688</v>
      </c>
      <c r="D359" s="17">
        <v>1</v>
      </c>
      <c r="E359" s="22">
        <f>ROUND(0.04*521.42,0)*3.53</f>
        <v>74.13</v>
      </c>
      <c r="F359" s="22">
        <f>ROUND(0.04*409.08,0)*3.53</f>
        <v>56.48</v>
      </c>
      <c r="G359" s="22">
        <f>ROUND(0.04*366.33,0)*3.53</f>
        <v>52.949999999999996</v>
      </c>
      <c r="H359" s="22">
        <f>ROUND(0.04*254.17,0)*3.53</f>
        <v>35.3</v>
      </c>
      <c r="I359" s="22">
        <f aca="true" t="shared" si="17" ref="I359:P359">ROUND(0.04*521.42,0)*3.53</f>
        <v>74.13</v>
      </c>
      <c r="J359" s="22">
        <f t="shared" si="17"/>
        <v>74.13</v>
      </c>
      <c r="K359" s="22">
        <f t="shared" si="17"/>
        <v>74.13</v>
      </c>
      <c r="L359" s="22">
        <f t="shared" si="17"/>
        <v>74.13</v>
      </c>
      <c r="M359" s="22">
        <f t="shared" si="17"/>
        <v>74.13</v>
      </c>
      <c r="N359" s="22">
        <f t="shared" si="17"/>
        <v>74.13</v>
      </c>
      <c r="O359" s="22">
        <f t="shared" si="17"/>
        <v>74.13</v>
      </c>
      <c r="P359" s="22">
        <f t="shared" si="17"/>
        <v>74.13</v>
      </c>
      <c r="Q359" s="20">
        <f t="shared" si="14"/>
        <v>811.8999999999999</v>
      </c>
    </row>
    <row r="360" spans="1:17" ht="12.75">
      <c r="A360" s="73">
        <f t="shared" si="15"/>
        <v>351</v>
      </c>
      <c r="B360" s="9" t="s">
        <v>436</v>
      </c>
      <c r="C360" s="9">
        <v>21690</v>
      </c>
      <c r="D360" s="17">
        <v>2</v>
      </c>
      <c r="E360" s="22">
        <f>ROUND(0.04*521.42,0)*3.53*2</f>
        <v>148.26</v>
      </c>
      <c r="F360" s="22">
        <f>ROUND(0.04*409.08,0)*3.53*2</f>
        <v>112.96</v>
      </c>
      <c r="G360" s="22">
        <f>ROUND(0.04*366.33,0)*3.53*2</f>
        <v>105.89999999999999</v>
      </c>
      <c r="H360" s="22">
        <f>ROUND(0.04*254.17,0)*3.53*2</f>
        <v>70.6</v>
      </c>
      <c r="I360" s="22">
        <f aca="true" t="shared" si="18" ref="I360:P361">ROUND(0.04*521.42,0)*3.53*2</f>
        <v>148.26</v>
      </c>
      <c r="J360" s="22">
        <f t="shared" si="18"/>
        <v>148.26</v>
      </c>
      <c r="K360" s="22">
        <f t="shared" si="18"/>
        <v>148.26</v>
      </c>
      <c r="L360" s="22">
        <f t="shared" si="18"/>
        <v>148.26</v>
      </c>
      <c r="M360" s="22">
        <f t="shared" si="18"/>
        <v>148.26</v>
      </c>
      <c r="N360" s="22">
        <f t="shared" si="18"/>
        <v>148.26</v>
      </c>
      <c r="O360" s="22">
        <f t="shared" si="18"/>
        <v>148.26</v>
      </c>
      <c r="P360" s="22">
        <f t="shared" si="18"/>
        <v>148.26</v>
      </c>
      <c r="Q360" s="20">
        <f t="shared" si="14"/>
        <v>1623.7999999999997</v>
      </c>
    </row>
    <row r="361" spans="1:17" ht="12.75">
      <c r="A361" s="73">
        <f t="shared" si="15"/>
        <v>352</v>
      </c>
      <c r="B361" s="9" t="s">
        <v>437</v>
      </c>
      <c r="C361" s="9">
        <v>21696</v>
      </c>
      <c r="D361" s="17">
        <v>2</v>
      </c>
      <c r="E361" s="22">
        <f>ROUND(0.04*521.42,0)*3.53*2</f>
        <v>148.26</v>
      </c>
      <c r="F361" s="22">
        <f>ROUND(0.04*409.08,0)*3.53*2</f>
        <v>112.96</v>
      </c>
      <c r="G361" s="22">
        <f>ROUND(0.04*366.33,0)*3.53*2</f>
        <v>105.89999999999999</v>
      </c>
      <c r="H361" s="22">
        <f>ROUND(0.04*254.17,0)*3.53*2</f>
        <v>70.6</v>
      </c>
      <c r="I361" s="22">
        <f t="shared" si="18"/>
        <v>148.26</v>
      </c>
      <c r="J361" s="22">
        <f t="shared" si="18"/>
        <v>148.26</v>
      </c>
      <c r="K361" s="22">
        <f t="shared" si="18"/>
        <v>148.26</v>
      </c>
      <c r="L361" s="22">
        <f t="shared" si="18"/>
        <v>148.26</v>
      </c>
      <c r="M361" s="22">
        <f t="shared" si="18"/>
        <v>148.26</v>
      </c>
      <c r="N361" s="22">
        <f t="shared" si="18"/>
        <v>148.26</v>
      </c>
      <c r="O361" s="22">
        <f t="shared" si="18"/>
        <v>148.26</v>
      </c>
      <c r="P361" s="22">
        <f t="shared" si="18"/>
        <v>148.26</v>
      </c>
      <c r="Q361" s="20">
        <f t="shared" si="14"/>
        <v>1623.7999999999997</v>
      </c>
    </row>
    <row r="362" spans="1:17" ht="12.75">
      <c r="A362" s="73">
        <f t="shared" si="15"/>
        <v>353</v>
      </c>
      <c r="B362" s="9" t="s">
        <v>438</v>
      </c>
      <c r="C362" s="9">
        <v>21698</v>
      </c>
      <c r="D362" s="17">
        <v>1</v>
      </c>
      <c r="E362" s="22">
        <f>ROUND(0.04*521.42,0)*3.53</f>
        <v>74.13</v>
      </c>
      <c r="F362" s="22">
        <f>ROUND(0.04*409.08,0)*3.53</f>
        <v>56.48</v>
      </c>
      <c r="G362" s="22">
        <f>ROUND(0.04*366.33,0)*3.53</f>
        <v>52.949999999999996</v>
      </c>
      <c r="H362" s="22">
        <f>ROUND(0.04*254.17,0)*3.53</f>
        <v>35.3</v>
      </c>
      <c r="I362" s="22">
        <f aca="true" t="shared" si="19" ref="I362:P362">ROUND(0.04*521.42,0)*3.53</f>
        <v>74.13</v>
      </c>
      <c r="J362" s="22">
        <f t="shared" si="19"/>
        <v>74.13</v>
      </c>
      <c r="K362" s="22">
        <f t="shared" si="19"/>
        <v>74.13</v>
      </c>
      <c r="L362" s="22">
        <f t="shared" si="19"/>
        <v>74.13</v>
      </c>
      <c r="M362" s="22">
        <f t="shared" si="19"/>
        <v>74.13</v>
      </c>
      <c r="N362" s="22">
        <f t="shared" si="19"/>
        <v>74.13</v>
      </c>
      <c r="O362" s="22">
        <f t="shared" si="19"/>
        <v>74.13</v>
      </c>
      <c r="P362" s="22">
        <f t="shared" si="19"/>
        <v>74.13</v>
      </c>
      <c r="Q362" s="20">
        <f t="shared" si="14"/>
        <v>811.8999999999999</v>
      </c>
    </row>
    <row r="363" spans="1:17" ht="12.75">
      <c r="A363" s="73"/>
      <c r="B363" s="9" t="s">
        <v>726</v>
      </c>
      <c r="C363" s="83"/>
      <c r="D363" s="17"/>
      <c r="E363" s="22">
        <v>8549.79</v>
      </c>
      <c r="F363" s="20">
        <v>8817.7</v>
      </c>
      <c r="G363" s="20"/>
      <c r="H363" s="20"/>
      <c r="I363" s="20"/>
      <c r="J363" s="20"/>
      <c r="K363" s="22"/>
      <c r="L363" s="22"/>
      <c r="M363" s="22"/>
      <c r="N363" s="22"/>
      <c r="O363" s="22"/>
      <c r="P363" s="22"/>
      <c r="Q363" s="20"/>
    </row>
    <row r="364" spans="1:17" ht="12.75">
      <c r="A364" s="73">
        <f>A362+1</f>
        <v>354</v>
      </c>
      <c r="B364" s="9" t="s">
        <v>439</v>
      </c>
      <c r="C364" s="9">
        <v>23704</v>
      </c>
      <c r="D364" s="17" t="s">
        <v>584</v>
      </c>
      <c r="E364" s="21"/>
      <c r="F364" s="20"/>
      <c r="G364" s="20"/>
      <c r="H364" s="20"/>
      <c r="I364" s="20"/>
      <c r="J364" s="20"/>
      <c r="K364" s="22"/>
      <c r="L364" s="20"/>
      <c r="M364" s="21"/>
      <c r="N364" s="21"/>
      <c r="O364" s="21"/>
      <c r="P364" s="21"/>
      <c r="Q364" s="20">
        <f t="shared" si="14"/>
        <v>0</v>
      </c>
    </row>
    <row r="365" spans="1:17" ht="12.75">
      <c r="A365" s="73">
        <f t="shared" si="15"/>
        <v>355</v>
      </c>
      <c r="B365" s="47" t="s">
        <v>609</v>
      </c>
      <c r="C365" s="10"/>
      <c r="D365" s="45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>
        <f t="shared" si="14"/>
        <v>0</v>
      </c>
    </row>
    <row r="366" spans="1:17" ht="12.75">
      <c r="A366" s="73">
        <f t="shared" si="15"/>
        <v>356</v>
      </c>
      <c r="B366" s="9" t="s">
        <v>440</v>
      </c>
      <c r="C366" s="9">
        <v>12289</v>
      </c>
      <c r="D366" s="17" t="s">
        <v>584</v>
      </c>
      <c r="E366" s="21"/>
      <c r="F366" s="20"/>
      <c r="G366" s="21">
        <f>ROUND(0.04*366.33,0)*3.53*3</f>
        <v>158.85</v>
      </c>
      <c r="H366" s="21">
        <f>ROUND(0.04*254.17,0)*3.53*3</f>
        <v>105.89999999999999</v>
      </c>
      <c r="I366" s="20"/>
      <c r="J366" s="20"/>
      <c r="K366" s="22"/>
      <c r="L366" s="20"/>
      <c r="M366" s="21"/>
      <c r="N366" s="21"/>
      <c r="O366" s="21"/>
      <c r="P366" s="21"/>
      <c r="Q366" s="20">
        <f t="shared" si="14"/>
        <v>264.75</v>
      </c>
    </row>
    <row r="367" spans="1:17" ht="12.75">
      <c r="A367" s="73">
        <f t="shared" si="15"/>
        <v>357</v>
      </c>
      <c r="B367" s="9" t="s">
        <v>441</v>
      </c>
      <c r="C367" s="9">
        <v>12295</v>
      </c>
      <c r="D367" s="17">
        <v>16</v>
      </c>
      <c r="E367" s="22">
        <f>ROUND(0.04*521.42,0)*3.53*16</f>
        <v>1186.08</v>
      </c>
      <c r="F367" s="22">
        <f>ROUND(0.04*409.08,0)*3.53*16</f>
        <v>903.68</v>
      </c>
      <c r="G367" s="22">
        <f>ROUND(0.04*366.33,0)*3.53*16</f>
        <v>847.1999999999999</v>
      </c>
      <c r="H367" s="22">
        <f>ROUND(0.04*254.17,0)*3.53*16</f>
        <v>564.8</v>
      </c>
      <c r="I367" s="20"/>
      <c r="J367" s="20"/>
      <c r="K367" s="22"/>
      <c r="L367" s="22"/>
      <c r="M367" s="22"/>
      <c r="N367" s="22"/>
      <c r="O367" s="22"/>
      <c r="P367" s="22"/>
      <c r="Q367" s="20">
        <f t="shared" si="14"/>
        <v>3501.7599999999993</v>
      </c>
    </row>
    <row r="368" spans="1:17" ht="12.75">
      <c r="A368" s="73">
        <f t="shared" si="15"/>
        <v>358</v>
      </c>
      <c r="B368" s="27" t="s">
        <v>442</v>
      </c>
      <c r="C368" s="9">
        <v>11262</v>
      </c>
      <c r="D368" s="26" t="s">
        <v>583</v>
      </c>
      <c r="E368" s="20">
        <v>34383.6</v>
      </c>
      <c r="F368" s="20">
        <v>34203.6</v>
      </c>
      <c r="G368" s="20"/>
      <c r="H368" s="20"/>
      <c r="I368" s="20"/>
      <c r="J368" s="20"/>
      <c r="K368" s="22"/>
      <c r="L368" s="20"/>
      <c r="M368" s="20"/>
      <c r="N368" s="20"/>
      <c r="O368" s="20"/>
      <c r="P368" s="20"/>
      <c r="Q368" s="20">
        <f t="shared" si="14"/>
        <v>68587.2</v>
      </c>
    </row>
    <row r="369" spans="1:231" s="44" customFormat="1" ht="12.75">
      <c r="A369" s="73">
        <f t="shared" si="15"/>
        <v>359</v>
      </c>
      <c r="B369" s="9" t="s">
        <v>443</v>
      </c>
      <c r="C369" s="9">
        <v>11261</v>
      </c>
      <c r="D369" s="31" t="s">
        <v>588</v>
      </c>
      <c r="E369" s="20">
        <v>7683.93</v>
      </c>
      <c r="F369" s="20">
        <v>7094.34</v>
      </c>
      <c r="G369" s="20"/>
      <c r="H369" s="20"/>
      <c r="I369" s="20"/>
      <c r="J369" s="20"/>
      <c r="K369" s="22"/>
      <c r="L369" s="20"/>
      <c r="M369" s="20"/>
      <c r="N369" s="20"/>
      <c r="O369" s="20"/>
      <c r="P369" s="20"/>
      <c r="Q369" s="20">
        <f t="shared" si="14"/>
        <v>14778.27</v>
      </c>
      <c r="R369" s="34"/>
      <c r="S369" s="34"/>
      <c r="T369" s="34"/>
      <c r="U369" s="34"/>
      <c r="V369" s="34"/>
      <c r="W369" s="34"/>
      <c r="X369" s="34"/>
      <c r="Y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</row>
    <row r="370" spans="1:231" s="44" customFormat="1" ht="12.75">
      <c r="A370" s="73">
        <f t="shared" si="15"/>
        <v>360</v>
      </c>
      <c r="B370" s="9" t="s">
        <v>444</v>
      </c>
      <c r="C370" s="9">
        <v>11267</v>
      </c>
      <c r="D370" s="31" t="s">
        <v>588</v>
      </c>
      <c r="E370" s="20">
        <v>2100.06</v>
      </c>
      <c r="F370" s="20">
        <v>2169.06</v>
      </c>
      <c r="G370" s="20"/>
      <c r="H370" s="20"/>
      <c r="I370" s="20"/>
      <c r="J370" s="20"/>
      <c r="K370" s="22"/>
      <c r="L370" s="20"/>
      <c r="M370" s="20"/>
      <c r="N370" s="20"/>
      <c r="O370" s="20"/>
      <c r="P370" s="20"/>
      <c r="Q370" s="20">
        <f t="shared" si="14"/>
        <v>4269.12</v>
      </c>
      <c r="R370" s="34"/>
      <c r="S370" s="34"/>
      <c r="T370" s="34"/>
      <c r="U370" s="34"/>
      <c r="V370" s="34"/>
      <c r="W370" s="34"/>
      <c r="X370" s="34"/>
      <c r="Y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</row>
    <row r="371" spans="1:17" ht="12.75">
      <c r="A371" s="73">
        <f t="shared" si="15"/>
        <v>361</v>
      </c>
      <c r="B371" s="10" t="s">
        <v>445</v>
      </c>
      <c r="C371" s="10">
        <v>19755</v>
      </c>
      <c r="D371" s="31" t="s">
        <v>588</v>
      </c>
      <c r="E371" s="20">
        <v>15005.76</v>
      </c>
      <c r="F371" s="20">
        <f>8952.08+6266.77</f>
        <v>15218.85</v>
      </c>
      <c r="G371" s="20"/>
      <c r="H371" s="20"/>
      <c r="I371" s="20"/>
      <c r="J371" s="20"/>
      <c r="K371" s="22"/>
      <c r="L371" s="20"/>
      <c r="M371" s="20"/>
      <c r="N371" s="20"/>
      <c r="O371" s="20"/>
      <c r="P371" s="20"/>
      <c r="Q371" s="20">
        <f t="shared" si="14"/>
        <v>30224.61</v>
      </c>
    </row>
    <row r="372" spans="1:17" ht="12.75">
      <c r="A372" s="73">
        <f t="shared" si="15"/>
        <v>362</v>
      </c>
      <c r="B372" s="9" t="s">
        <v>446</v>
      </c>
      <c r="C372" s="9">
        <v>12672</v>
      </c>
      <c r="D372" s="17" t="s">
        <v>585</v>
      </c>
      <c r="E372" s="20">
        <v>5870.31</v>
      </c>
      <c r="F372" s="20">
        <v>15340.71</v>
      </c>
      <c r="G372" s="20"/>
      <c r="H372" s="20"/>
      <c r="I372" s="20"/>
      <c r="J372" s="20"/>
      <c r="K372" s="22"/>
      <c r="L372" s="20"/>
      <c r="M372" s="20"/>
      <c r="N372" s="20"/>
      <c r="O372" s="20"/>
      <c r="P372" s="20"/>
      <c r="Q372" s="20">
        <f t="shared" si="14"/>
        <v>21211.02</v>
      </c>
    </row>
    <row r="373" spans="1:17" ht="12.75">
      <c r="A373" s="73">
        <f t="shared" si="15"/>
        <v>363</v>
      </c>
      <c r="B373" s="9" t="s">
        <v>447</v>
      </c>
      <c r="C373" s="9">
        <v>12671</v>
      </c>
      <c r="D373" s="31" t="s">
        <v>588</v>
      </c>
      <c r="E373" s="20">
        <v>4355.01</v>
      </c>
      <c r="F373" s="55">
        <v>4381.02</v>
      </c>
      <c r="G373" s="55"/>
      <c r="H373" s="55"/>
      <c r="I373" s="20"/>
      <c r="J373" s="20"/>
      <c r="K373" s="22"/>
      <c r="L373" s="20"/>
      <c r="M373" s="20"/>
      <c r="N373" s="20"/>
      <c r="O373" s="20"/>
      <c r="P373" s="20"/>
      <c r="Q373" s="20">
        <f aca="true" t="shared" si="20" ref="Q373:Q436">E373+F373+G373+H373+I373+J373+K373+L373+M373+N373+O373+P373</f>
        <v>8736.03</v>
      </c>
    </row>
    <row r="374" spans="1:17" ht="12.75">
      <c r="A374" s="73">
        <f t="shared" si="15"/>
        <v>364</v>
      </c>
      <c r="B374" s="9" t="s">
        <v>448</v>
      </c>
      <c r="C374" s="9">
        <v>11271</v>
      </c>
      <c r="D374" s="31" t="s">
        <v>588</v>
      </c>
      <c r="E374" s="20">
        <v>3378.01</v>
      </c>
      <c r="F374" s="20">
        <v>3459.63</v>
      </c>
      <c r="G374" s="20"/>
      <c r="H374" s="20"/>
      <c r="I374" s="20"/>
      <c r="J374" s="20"/>
      <c r="K374" s="22"/>
      <c r="L374" s="20"/>
      <c r="M374" s="20"/>
      <c r="N374" s="20"/>
      <c r="O374" s="20"/>
      <c r="P374" s="20"/>
      <c r="Q374" s="20">
        <f t="shared" si="20"/>
        <v>6837.64</v>
      </c>
    </row>
    <row r="375" spans="1:17" ht="12.75">
      <c r="A375" s="73">
        <f t="shared" si="15"/>
        <v>365</v>
      </c>
      <c r="B375" s="9" t="s">
        <v>449</v>
      </c>
      <c r="C375" s="9">
        <v>11281</v>
      </c>
      <c r="D375" s="31" t="s">
        <v>588</v>
      </c>
      <c r="E375" s="20">
        <v>2826.75</v>
      </c>
      <c r="F375" s="20">
        <v>2739.75</v>
      </c>
      <c r="G375" s="20"/>
      <c r="H375" s="20"/>
      <c r="I375" s="20"/>
      <c r="J375" s="20"/>
      <c r="K375" s="22"/>
      <c r="L375" s="20"/>
      <c r="M375" s="20"/>
      <c r="N375" s="20"/>
      <c r="O375" s="20"/>
      <c r="P375" s="20"/>
      <c r="Q375" s="20">
        <f t="shared" si="20"/>
        <v>5566.5</v>
      </c>
    </row>
    <row r="376" spans="1:17" ht="12.75">
      <c r="A376" s="73">
        <f t="shared" si="15"/>
        <v>366</v>
      </c>
      <c r="B376" s="9" t="s">
        <v>450</v>
      </c>
      <c r="C376" s="9">
        <v>11282</v>
      </c>
      <c r="D376" s="17" t="s">
        <v>585</v>
      </c>
      <c r="E376" s="20">
        <v>1100.24</v>
      </c>
      <c r="F376" s="20">
        <v>1263.99</v>
      </c>
      <c r="G376" s="20"/>
      <c r="H376" s="20"/>
      <c r="I376" s="20"/>
      <c r="J376" s="20"/>
      <c r="K376" s="22"/>
      <c r="L376" s="20"/>
      <c r="M376" s="20"/>
      <c r="N376" s="20"/>
      <c r="O376" s="20"/>
      <c r="P376" s="20"/>
      <c r="Q376" s="20">
        <f t="shared" si="20"/>
        <v>2364.23</v>
      </c>
    </row>
    <row r="377" spans="1:17" ht="12.75">
      <c r="A377" s="73">
        <f t="shared" si="15"/>
        <v>367</v>
      </c>
      <c r="B377" s="9" t="s">
        <v>451</v>
      </c>
      <c r="C377" s="9">
        <v>11283</v>
      </c>
      <c r="D377" s="31" t="s">
        <v>588</v>
      </c>
      <c r="E377" s="20">
        <v>4104.24</v>
      </c>
      <c r="F377" s="20">
        <v>4339.17</v>
      </c>
      <c r="G377" s="20"/>
      <c r="H377" s="20"/>
      <c r="I377" s="20"/>
      <c r="J377" s="20"/>
      <c r="K377" s="22"/>
      <c r="L377" s="20"/>
      <c r="M377" s="20"/>
      <c r="N377" s="20"/>
      <c r="O377" s="20"/>
      <c r="P377" s="20"/>
      <c r="Q377" s="20">
        <f t="shared" si="20"/>
        <v>8443.41</v>
      </c>
    </row>
    <row r="378" spans="1:17" ht="12.75">
      <c r="A378" s="73">
        <f t="shared" si="15"/>
        <v>368</v>
      </c>
      <c r="B378" s="9" t="s">
        <v>452</v>
      </c>
      <c r="C378" s="9">
        <v>11284</v>
      </c>
      <c r="D378" s="17" t="s">
        <v>585</v>
      </c>
      <c r="E378" s="20">
        <v>1731.4</v>
      </c>
      <c r="F378" s="20">
        <v>869.89</v>
      </c>
      <c r="G378" s="20"/>
      <c r="H378" s="20"/>
      <c r="I378" s="20"/>
      <c r="J378" s="20"/>
      <c r="K378" s="22"/>
      <c r="L378" s="20"/>
      <c r="M378" s="20"/>
      <c r="N378" s="20"/>
      <c r="O378" s="20"/>
      <c r="P378" s="20"/>
      <c r="Q378" s="20">
        <f t="shared" si="20"/>
        <v>2601.29</v>
      </c>
    </row>
    <row r="379" spans="1:17" ht="12.75">
      <c r="A379" s="73">
        <f t="shared" si="15"/>
        <v>369</v>
      </c>
      <c r="B379" s="9" t="s">
        <v>453</v>
      </c>
      <c r="C379" s="9">
        <v>11286</v>
      </c>
      <c r="D379" s="17" t="s">
        <v>585</v>
      </c>
      <c r="E379" s="20">
        <v>2151.38</v>
      </c>
      <c r="F379" s="20">
        <v>1856.26</v>
      </c>
      <c r="G379" s="20"/>
      <c r="H379" s="20"/>
      <c r="I379" s="20"/>
      <c r="J379" s="20"/>
      <c r="K379" s="22"/>
      <c r="L379" s="20"/>
      <c r="M379" s="20"/>
      <c r="N379" s="20"/>
      <c r="O379" s="20"/>
      <c r="P379" s="20"/>
      <c r="Q379" s="20">
        <f t="shared" si="20"/>
        <v>4007.6400000000003</v>
      </c>
    </row>
    <row r="380" spans="1:17" ht="12.75">
      <c r="A380" s="73">
        <f t="shared" si="15"/>
        <v>370</v>
      </c>
      <c r="B380" s="9" t="s">
        <v>454</v>
      </c>
      <c r="C380" s="9">
        <v>11272</v>
      </c>
      <c r="D380" s="31" t="s">
        <v>588</v>
      </c>
      <c r="E380" s="20">
        <v>1230.12</v>
      </c>
      <c r="F380" s="20">
        <v>1075.2</v>
      </c>
      <c r="G380" s="20"/>
      <c r="H380" s="20"/>
      <c r="I380" s="20"/>
      <c r="J380" s="20"/>
      <c r="K380" s="22"/>
      <c r="L380" s="20"/>
      <c r="M380" s="20"/>
      <c r="N380" s="20"/>
      <c r="O380" s="20"/>
      <c r="P380" s="20"/>
      <c r="Q380" s="20">
        <f t="shared" si="20"/>
        <v>2305.3199999999997</v>
      </c>
    </row>
    <row r="381" spans="1:17" ht="12.75">
      <c r="A381" s="73">
        <f t="shared" si="15"/>
        <v>371</v>
      </c>
      <c r="B381" s="9" t="s">
        <v>455</v>
      </c>
      <c r="C381" s="9">
        <v>11288</v>
      </c>
      <c r="D381" s="17" t="s">
        <v>585</v>
      </c>
      <c r="E381" s="20">
        <v>1178.84</v>
      </c>
      <c r="F381" s="20">
        <v>1025.66</v>
      </c>
      <c r="G381" s="20"/>
      <c r="H381" s="20"/>
      <c r="I381" s="20"/>
      <c r="J381" s="20"/>
      <c r="K381" s="22"/>
      <c r="L381" s="20"/>
      <c r="M381" s="20"/>
      <c r="N381" s="20"/>
      <c r="O381" s="20"/>
      <c r="P381" s="20"/>
      <c r="Q381" s="20">
        <f t="shared" si="20"/>
        <v>2204.5</v>
      </c>
    </row>
    <row r="382" spans="1:17" ht="12.75">
      <c r="A382" s="73">
        <f t="shared" si="15"/>
        <v>372</v>
      </c>
      <c r="B382" s="9" t="s">
        <v>456</v>
      </c>
      <c r="C382" s="9">
        <v>11296</v>
      </c>
      <c r="D382" s="17" t="s">
        <v>585</v>
      </c>
      <c r="E382" s="20">
        <v>1368.07</v>
      </c>
      <c r="F382" s="20">
        <v>1004.94</v>
      </c>
      <c r="G382" s="20"/>
      <c r="H382" s="20"/>
      <c r="I382" s="20"/>
      <c r="J382" s="20"/>
      <c r="K382" s="22"/>
      <c r="L382" s="20"/>
      <c r="M382" s="20"/>
      <c r="N382" s="20"/>
      <c r="O382" s="20"/>
      <c r="P382" s="20"/>
      <c r="Q382" s="20">
        <f t="shared" si="20"/>
        <v>2373.01</v>
      </c>
    </row>
    <row r="383" spans="1:17" ht="12.75">
      <c r="A383" s="73">
        <f t="shared" si="15"/>
        <v>373</v>
      </c>
      <c r="B383" s="9" t="s">
        <v>457</v>
      </c>
      <c r="C383" s="9">
        <v>11298</v>
      </c>
      <c r="D383" s="17" t="s">
        <v>585</v>
      </c>
      <c r="E383" s="20">
        <v>1083.67</v>
      </c>
      <c r="F383" s="20">
        <v>1174.18</v>
      </c>
      <c r="G383" s="20"/>
      <c r="H383" s="20"/>
      <c r="I383" s="20"/>
      <c r="J383" s="20"/>
      <c r="K383" s="22"/>
      <c r="L383" s="20"/>
      <c r="M383" s="20"/>
      <c r="N383" s="20"/>
      <c r="O383" s="20"/>
      <c r="P383" s="20"/>
      <c r="Q383" s="20">
        <f t="shared" si="20"/>
        <v>2257.8500000000004</v>
      </c>
    </row>
    <row r="384" spans="1:17" ht="12.75">
      <c r="A384" s="73">
        <f t="shared" si="15"/>
        <v>374</v>
      </c>
      <c r="B384" s="9" t="s">
        <v>458</v>
      </c>
      <c r="C384" s="9">
        <v>11300</v>
      </c>
      <c r="D384" s="17" t="s">
        <v>585</v>
      </c>
      <c r="E384" s="20">
        <v>2013.31</v>
      </c>
      <c r="F384" s="20">
        <v>1695.57</v>
      </c>
      <c r="G384" s="20"/>
      <c r="H384" s="20"/>
      <c r="I384" s="20"/>
      <c r="J384" s="20"/>
      <c r="K384" s="22"/>
      <c r="L384" s="20"/>
      <c r="M384" s="20"/>
      <c r="N384" s="20"/>
      <c r="O384" s="20"/>
      <c r="P384" s="20"/>
      <c r="Q384" s="20">
        <f t="shared" si="20"/>
        <v>3708.88</v>
      </c>
    </row>
    <row r="385" spans="1:17" ht="12.75">
      <c r="A385" s="73">
        <f t="shared" si="15"/>
        <v>375</v>
      </c>
      <c r="B385" s="9" t="s">
        <v>459</v>
      </c>
      <c r="C385" s="11">
        <v>32302</v>
      </c>
      <c r="D385" s="17" t="s">
        <v>591</v>
      </c>
      <c r="E385" s="44"/>
      <c r="F385" s="22"/>
      <c r="G385" s="22"/>
      <c r="H385" s="22"/>
      <c r="I385" s="20"/>
      <c r="J385" s="20"/>
      <c r="K385" s="22"/>
      <c r="L385" s="20"/>
      <c r="M385" s="20"/>
      <c r="N385" s="20"/>
      <c r="O385" s="20"/>
      <c r="P385" s="20"/>
      <c r="Q385" s="20">
        <f>E386+F385+G385+H385+I385+J385+K385+L385+M385+N385+O385+P385</f>
        <v>2555.1</v>
      </c>
    </row>
    <row r="386" spans="1:17" ht="12.75">
      <c r="A386" s="73">
        <f t="shared" si="15"/>
        <v>376</v>
      </c>
      <c r="B386" s="9" t="s">
        <v>460</v>
      </c>
      <c r="C386" s="9">
        <v>11301</v>
      </c>
      <c r="D386" s="31" t="s">
        <v>588</v>
      </c>
      <c r="E386" s="20">
        <v>2555.1</v>
      </c>
      <c r="F386" s="20">
        <v>2999.35</v>
      </c>
      <c r="G386" s="20"/>
      <c r="H386" s="20"/>
      <c r="I386" s="20"/>
      <c r="J386" s="20"/>
      <c r="K386" s="22"/>
      <c r="L386" s="20"/>
      <c r="M386" s="20"/>
      <c r="N386" s="20"/>
      <c r="O386" s="20"/>
      <c r="P386" s="20"/>
      <c r="Q386" s="20">
        <f>E387+F386+G386+H386+I386+J386+K386+L386+M386+N386+O386+P386</f>
        <v>4507.28</v>
      </c>
    </row>
    <row r="387" spans="1:17" ht="12.75">
      <c r="A387" s="73">
        <f t="shared" si="15"/>
        <v>377</v>
      </c>
      <c r="B387" s="9" t="s">
        <v>461</v>
      </c>
      <c r="C387" s="9">
        <v>11302</v>
      </c>
      <c r="D387" s="17" t="s">
        <v>585</v>
      </c>
      <c r="E387" s="20">
        <v>1507.93</v>
      </c>
      <c r="F387" s="20">
        <v>654.35</v>
      </c>
      <c r="G387" s="20"/>
      <c r="H387" s="20"/>
      <c r="I387" s="20"/>
      <c r="J387" s="20"/>
      <c r="K387" s="22"/>
      <c r="L387" s="20"/>
      <c r="M387" s="20"/>
      <c r="N387" s="20"/>
      <c r="O387" s="20"/>
      <c r="P387" s="20"/>
      <c r="Q387" s="20">
        <f>E388+F387+G387+H387+I387+J387+K387+L387+M387+N387+O387+P387</f>
        <v>2509.17</v>
      </c>
    </row>
    <row r="388" spans="1:17" ht="12.75">
      <c r="A388" s="73">
        <f t="shared" si="15"/>
        <v>378</v>
      </c>
      <c r="B388" s="9" t="s">
        <v>462</v>
      </c>
      <c r="C388" s="9">
        <v>11303</v>
      </c>
      <c r="D388" s="17" t="s">
        <v>585</v>
      </c>
      <c r="E388" s="20">
        <v>1854.82</v>
      </c>
      <c r="F388" s="20">
        <v>1218.29</v>
      </c>
      <c r="G388" s="20"/>
      <c r="H388" s="20"/>
      <c r="I388" s="20"/>
      <c r="J388" s="20"/>
      <c r="K388" s="22"/>
      <c r="L388" s="20"/>
      <c r="M388" s="20"/>
      <c r="N388" s="20"/>
      <c r="O388" s="20"/>
      <c r="P388" s="20"/>
      <c r="Q388" s="20">
        <f aca="true" t="shared" si="21" ref="Q388:Q403">E390+F388+G388+H388+I388+J388+K388+L388+M388+N388+O388+P388</f>
        <v>2893.3199999999997</v>
      </c>
    </row>
    <row r="389" spans="1:231" s="44" customFormat="1" ht="12.75">
      <c r="A389" s="73">
        <f t="shared" si="15"/>
        <v>379</v>
      </c>
      <c r="B389" s="9" t="s">
        <v>463</v>
      </c>
      <c r="C389" s="9">
        <v>11342</v>
      </c>
      <c r="D389" s="17" t="s">
        <v>591</v>
      </c>
      <c r="F389" s="22"/>
      <c r="G389" s="22"/>
      <c r="H389" s="22"/>
      <c r="I389" s="20"/>
      <c r="J389" s="20"/>
      <c r="K389" s="22"/>
      <c r="L389" s="20"/>
      <c r="M389" s="20"/>
      <c r="N389" s="20"/>
      <c r="O389" s="20"/>
      <c r="P389" s="20"/>
      <c r="Q389" s="20">
        <f t="shared" si="21"/>
        <v>2067.45</v>
      </c>
      <c r="R389" s="34"/>
      <c r="S389" s="34"/>
      <c r="T389" s="34"/>
      <c r="U389" s="34"/>
      <c r="V389" s="34"/>
      <c r="W389" s="34"/>
      <c r="X389" s="34"/>
      <c r="Y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</row>
    <row r="390" spans="1:17" ht="12.75">
      <c r="A390" s="73">
        <f t="shared" si="15"/>
        <v>380</v>
      </c>
      <c r="B390" s="9" t="s">
        <v>464</v>
      </c>
      <c r="C390" s="9">
        <v>11344</v>
      </c>
      <c r="D390" s="17" t="s">
        <v>585</v>
      </c>
      <c r="E390" s="20">
        <v>1675.03</v>
      </c>
      <c r="F390" s="20">
        <v>1547.28</v>
      </c>
      <c r="G390" s="20"/>
      <c r="H390" s="20"/>
      <c r="I390" s="20"/>
      <c r="J390" s="20"/>
      <c r="K390" s="22"/>
      <c r="L390" s="20"/>
      <c r="M390" s="20"/>
      <c r="N390" s="20"/>
      <c r="O390" s="20"/>
      <c r="P390" s="20"/>
      <c r="Q390" s="20">
        <f t="shared" si="21"/>
        <v>3099.0699999999997</v>
      </c>
    </row>
    <row r="391" spans="1:17" ht="12.75">
      <c r="A391" s="73">
        <f t="shared" si="15"/>
        <v>381</v>
      </c>
      <c r="B391" s="9" t="s">
        <v>465</v>
      </c>
      <c r="C391" s="9">
        <v>11346</v>
      </c>
      <c r="D391" s="31" t="s">
        <v>588</v>
      </c>
      <c r="E391" s="20">
        <v>2067.45</v>
      </c>
      <c r="F391" s="20">
        <v>2596.19</v>
      </c>
      <c r="G391" s="20"/>
      <c r="H391" s="20"/>
      <c r="I391" s="20"/>
      <c r="J391" s="20"/>
      <c r="K391" s="22"/>
      <c r="L391" s="20"/>
      <c r="M391" s="20"/>
      <c r="N391" s="20"/>
      <c r="O391" s="20"/>
      <c r="P391" s="20"/>
      <c r="Q391" s="20">
        <f t="shared" si="21"/>
        <v>4670.15</v>
      </c>
    </row>
    <row r="392" spans="1:17" ht="12.75">
      <c r="A392" s="73">
        <f t="shared" si="15"/>
        <v>382</v>
      </c>
      <c r="B392" s="9" t="s">
        <v>466</v>
      </c>
      <c r="C392" s="9">
        <v>11348</v>
      </c>
      <c r="D392" s="17" t="s">
        <v>585</v>
      </c>
      <c r="E392" s="20">
        <v>1551.79</v>
      </c>
      <c r="F392" s="20">
        <v>1444.66</v>
      </c>
      <c r="G392" s="20"/>
      <c r="H392" s="20"/>
      <c r="I392" s="20"/>
      <c r="J392" s="20"/>
      <c r="K392" s="22"/>
      <c r="L392" s="20"/>
      <c r="M392" s="20"/>
      <c r="N392" s="20"/>
      <c r="O392" s="20"/>
      <c r="P392" s="20"/>
      <c r="Q392" s="20">
        <f t="shared" si="21"/>
        <v>3553.1400000000003</v>
      </c>
    </row>
    <row r="393" spans="1:17" ht="12.75">
      <c r="A393" s="73">
        <f t="shared" si="15"/>
        <v>383</v>
      </c>
      <c r="B393" s="9" t="s">
        <v>467</v>
      </c>
      <c r="C393" s="9">
        <v>11350</v>
      </c>
      <c r="D393" s="17" t="s">
        <v>585</v>
      </c>
      <c r="E393" s="20">
        <v>2073.96</v>
      </c>
      <c r="F393" s="20">
        <v>1662.49</v>
      </c>
      <c r="G393" s="20"/>
      <c r="H393" s="20"/>
      <c r="I393" s="20"/>
      <c r="J393" s="20"/>
      <c r="K393" s="22"/>
      <c r="L393" s="20"/>
      <c r="M393" s="20"/>
      <c r="N393" s="20"/>
      <c r="O393" s="20"/>
      <c r="P393" s="20"/>
      <c r="Q393" s="20">
        <f t="shared" si="21"/>
        <v>2221.2200000000003</v>
      </c>
    </row>
    <row r="394" spans="1:17" ht="12.75">
      <c r="A394" s="73">
        <f t="shared" si="15"/>
        <v>384</v>
      </c>
      <c r="B394" s="9" t="s">
        <v>468</v>
      </c>
      <c r="C394" s="9">
        <v>11352</v>
      </c>
      <c r="D394" s="17" t="s">
        <v>585</v>
      </c>
      <c r="E394" s="20">
        <v>2108.48</v>
      </c>
      <c r="F394" s="20">
        <v>2069.48</v>
      </c>
      <c r="G394" s="20"/>
      <c r="H394" s="20"/>
      <c r="I394" s="20"/>
      <c r="J394" s="20"/>
      <c r="K394" s="22"/>
      <c r="L394" s="20"/>
      <c r="M394" s="20"/>
      <c r="N394" s="20"/>
      <c r="O394" s="20"/>
      <c r="P394" s="20"/>
      <c r="Q394" s="20">
        <f t="shared" si="21"/>
        <v>3701.13</v>
      </c>
    </row>
    <row r="395" spans="1:231" s="44" customFormat="1" ht="12.75">
      <c r="A395" s="73">
        <f t="shared" si="15"/>
        <v>385</v>
      </c>
      <c r="B395" s="9" t="s">
        <v>469</v>
      </c>
      <c r="C395" s="9">
        <v>11354</v>
      </c>
      <c r="D395" s="17" t="s">
        <v>585</v>
      </c>
      <c r="E395" s="20">
        <v>558.73</v>
      </c>
      <c r="F395" s="20">
        <v>519.68</v>
      </c>
      <c r="G395" s="20"/>
      <c r="H395" s="20"/>
      <c r="I395" s="20"/>
      <c r="J395" s="20"/>
      <c r="K395" s="22"/>
      <c r="L395" s="20"/>
      <c r="M395" s="20"/>
      <c r="N395" s="20"/>
      <c r="O395" s="20"/>
      <c r="P395" s="20"/>
      <c r="Q395" s="20">
        <f t="shared" si="21"/>
        <v>1344.51</v>
      </c>
      <c r="R395" s="34"/>
      <c r="S395" s="34"/>
      <c r="T395" s="34"/>
      <c r="U395" s="34"/>
      <c r="V395" s="34"/>
      <c r="W395" s="34"/>
      <c r="X395" s="34"/>
      <c r="Y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</row>
    <row r="396" spans="1:231" s="44" customFormat="1" ht="12.75">
      <c r="A396" s="73">
        <f t="shared" si="15"/>
        <v>386</v>
      </c>
      <c r="B396" s="9" t="s">
        <v>470</v>
      </c>
      <c r="C396" s="9">
        <v>11356</v>
      </c>
      <c r="D396" s="17" t="s">
        <v>585</v>
      </c>
      <c r="E396" s="20">
        <v>1631.65</v>
      </c>
      <c r="F396" s="20">
        <v>1536.63</v>
      </c>
      <c r="G396" s="20"/>
      <c r="H396" s="20"/>
      <c r="I396" s="20"/>
      <c r="J396" s="20"/>
      <c r="K396" s="22"/>
      <c r="L396" s="20"/>
      <c r="M396" s="20"/>
      <c r="N396" s="20"/>
      <c r="O396" s="20"/>
      <c r="P396" s="20"/>
      <c r="Q396" s="20">
        <f t="shared" si="21"/>
        <v>2963.6400000000003</v>
      </c>
      <c r="R396" s="34"/>
      <c r="S396" s="34"/>
      <c r="T396" s="34"/>
      <c r="U396" s="34"/>
      <c r="V396" s="34"/>
      <c r="W396" s="34"/>
      <c r="X396" s="34"/>
      <c r="Y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</row>
    <row r="397" spans="1:17" ht="12.75">
      <c r="A397" s="73">
        <f aca="true" t="shared" si="22" ref="A397:A460">A396+1</f>
        <v>387</v>
      </c>
      <c r="B397" s="9" t="s">
        <v>471</v>
      </c>
      <c r="C397" s="9">
        <v>11358</v>
      </c>
      <c r="D397" s="31" t="s">
        <v>588</v>
      </c>
      <c r="E397" s="20">
        <v>824.83</v>
      </c>
      <c r="F397" s="20">
        <v>933.47</v>
      </c>
      <c r="G397" s="20"/>
      <c r="H397" s="20"/>
      <c r="I397" s="20"/>
      <c r="J397" s="20"/>
      <c r="K397" s="22"/>
      <c r="L397" s="20"/>
      <c r="M397" s="20"/>
      <c r="N397" s="20"/>
      <c r="O397" s="20"/>
      <c r="P397" s="20"/>
      <c r="Q397" s="20">
        <f t="shared" si="21"/>
        <v>2892.0699999999997</v>
      </c>
    </row>
    <row r="398" spans="1:231" s="44" customFormat="1" ht="12.75">
      <c r="A398" s="73">
        <f t="shared" si="22"/>
        <v>388</v>
      </c>
      <c r="B398" s="9" t="s">
        <v>472</v>
      </c>
      <c r="C398" s="9">
        <v>11430</v>
      </c>
      <c r="D398" s="17" t="s">
        <v>585</v>
      </c>
      <c r="E398" s="20">
        <v>1427.01</v>
      </c>
      <c r="F398" s="20">
        <v>1239.59</v>
      </c>
      <c r="G398" s="20"/>
      <c r="H398" s="20"/>
      <c r="I398" s="20"/>
      <c r="J398" s="20"/>
      <c r="K398" s="22"/>
      <c r="L398" s="20"/>
      <c r="M398" s="20"/>
      <c r="N398" s="20"/>
      <c r="O398" s="20"/>
      <c r="P398" s="20"/>
      <c r="Q398" s="20">
        <f t="shared" si="21"/>
        <v>3333.09</v>
      </c>
      <c r="R398" s="34"/>
      <c r="S398" s="34"/>
      <c r="T398" s="34"/>
      <c r="U398" s="34"/>
      <c r="V398" s="34"/>
      <c r="W398" s="34"/>
      <c r="X398" s="34"/>
      <c r="Y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</row>
    <row r="399" spans="1:231" s="44" customFormat="1" ht="12.75">
      <c r="A399" s="73">
        <f t="shared" si="22"/>
        <v>389</v>
      </c>
      <c r="B399" s="9" t="s">
        <v>473</v>
      </c>
      <c r="C399" s="9">
        <v>11434</v>
      </c>
      <c r="D399" s="17" t="s">
        <v>585</v>
      </c>
      <c r="E399" s="20">
        <v>1958.6</v>
      </c>
      <c r="F399" s="20">
        <v>1898.5</v>
      </c>
      <c r="G399" s="20"/>
      <c r="H399" s="20"/>
      <c r="I399" s="20"/>
      <c r="J399" s="20"/>
      <c r="K399" s="22"/>
      <c r="L399" s="20"/>
      <c r="M399" s="20"/>
      <c r="N399" s="20"/>
      <c r="O399" s="20"/>
      <c r="P399" s="20"/>
      <c r="Q399" s="20">
        <f t="shared" si="21"/>
        <v>3814.35</v>
      </c>
      <c r="R399" s="34"/>
      <c r="S399" s="34"/>
      <c r="T399" s="34"/>
      <c r="U399" s="34"/>
      <c r="V399" s="34"/>
      <c r="W399" s="34"/>
      <c r="X399" s="34"/>
      <c r="Y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</row>
    <row r="400" spans="1:231" s="44" customFormat="1" ht="12.75">
      <c r="A400" s="73">
        <f t="shared" si="22"/>
        <v>390</v>
      </c>
      <c r="B400" s="9" t="s">
        <v>474</v>
      </c>
      <c r="C400" s="9">
        <v>11436</v>
      </c>
      <c r="D400" s="17" t="s">
        <v>585</v>
      </c>
      <c r="E400" s="20">
        <v>2093.5</v>
      </c>
      <c r="F400" s="20">
        <v>2017.64</v>
      </c>
      <c r="G400" s="20"/>
      <c r="H400" s="20"/>
      <c r="I400" s="20"/>
      <c r="J400" s="20"/>
      <c r="K400" s="22"/>
      <c r="L400" s="20"/>
      <c r="M400" s="20"/>
      <c r="N400" s="20"/>
      <c r="O400" s="20"/>
      <c r="P400" s="20"/>
      <c r="Q400" s="20">
        <f t="shared" si="21"/>
        <v>4581.2</v>
      </c>
      <c r="R400" s="34"/>
      <c r="S400" s="34"/>
      <c r="T400" s="34"/>
      <c r="U400" s="34"/>
      <c r="V400" s="34"/>
      <c r="W400" s="34"/>
      <c r="X400" s="34"/>
      <c r="Y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</row>
    <row r="401" spans="1:231" s="44" customFormat="1" ht="12.75">
      <c r="A401" s="73">
        <f t="shared" si="22"/>
        <v>391</v>
      </c>
      <c r="B401" s="9" t="s">
        <v>475</v>
      </c>
      <c r="C401" s="9">
        <v>11438</v>
      </c>
      <c r="D401" s="17" t="s">
        <v>585</v>
      </c>
      <c r="E401" s="20">
        <v>1915.85</v>
      </c>
      <c r="F401" s="20">
        <v>470.66</v>
      </c>
      <c r="G401" s="20"/>
      <c r="H401" s="20"/>
      <c r="I401" s="20"/>
      <c r="J401" s="20"/>
      <c r="K401" s="22"/>
      <c r="L401" s="20"/>
      <c r="M401" s="20"/>
      <c r="N401" s="20"/>
      <c r="O401" s="20"/>
      <c r="P401" s="20"/>
      <c r="Q401" s="20">
        <f t="shared" si="21"/>
        <v>1600.3300000000002</v>
      </c>
      <c r="R401" s="34"/>
      <c r="S401" s="34"/>
      <c r="T401" s="34"/>
      <c r="U401" s="34"/>
      <c r="V401" s="34"/>
      <c r="W401" s="34"/>
      <c r="X401" s="34"/>
      <c r="Y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</row>
    <row r="402" spans="1:231" s="44" customFormat="1" ht="12.75">
      <c r="A402" s="73">
        <f t="shared" si="22"/>
        <v>392</v>
      </c>
      <c r="B402" s="9" t="s">
        <v>476</v>
      </c>
      <c r="C402" s="9">
        <v>11440</v>
      </c>
      <c r="D402" s="31" t="s">
        <v>588</v>
      </c>
      <c r="E402" s="20">
        <v>2563.56</v>
      </c>
      <c r="F402" s="20">
        <v>2598.48</v>
      </c>
      <c r="G402" s="20"/>
      <c r="H402" s="20"/>
      <c r="I402" s="20"/>
      <c r="J402" s="20"/>
      <c r="K402" s="22"/>
      <c r="L402" s="20"/>
      <c r="M402" s="20"/>
      <c r="N402" s="20"/>
      <c r="O402" s="20"/>
      <c r="P402" s="20"/>
      <c r="Q402" s="20">
        <f t="shared" si="21"/>
        <v>3611.25</v>
      </c>
      <c r="R402" s="34"/>
      <c r="S402" s="34"/>
      <c r="T402" s="34"/>
      <c r="U402" s="34"/>
      <c r="V402" s="34"/>
      <c r="W402" s="34"/>
      <c r="X402" s="34"/>
      <c r="Y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</row>
    <row r="403" spans="1:17" ht="12.75">
      <c r="A403" s="73">
        <f t="shared" si="22"/>
        <v>393</v>
      </c>
      <c r="B403" s="9" t="s">
        <v>477</v>
      </c>
      <c r="C403" s="9">
        <v>11442</v>
      </c>
      <c r="D403" s="17" t="s">
        <v>585</v>
      </c>
      <c r="E403" s="20">
        <v>1129.67</v>
      </c>
      <c r="F403" s="20">
        <v>1080.75</v>
      </c>
      <c r="G403" s="20"/>
      <c r="H403" s="20"/>
      <c r="I403" s="20"/>
      <c r="J403" s="20"/>
      <c r="K403" s="22"/>
      <c r="L403" s="20"/>
      <c r="M403" s="20"/>
      <c r="N403" s="20"/>
      <c r="O403" s="20"/>
      <c r="P403" s="20"/>
      <c r="Q403" s="20">
        <f t="shared" si="21"/>
        <v>3155.44</v>
      </c>
    </row>
    <row r="404" spans="1:231" s="44" customFormat="1" ht="12.75">
      <c r="A404" s="73">
        <f t="shared" si="22"/>
        <v>394</v>
      </c>
      <c r="B404" s="9" t="s">
        <v>478</v>
      </c>
      <c r="C404" s="9">
        <v>11444</v>
      </c>
      <c r="D404" s="17" t="s">
        <v>709</v>
      </c>
      <c r="E404" s="20">
        <v>1012.77</v>
      </c>
      <c r="F404" s="20">
        <v>1156.23</v>
      </c>
      <c r="G404" s="20"/>
      <c r="H404" s="20"/>
      <c r="I404" s="20"/>
      <c r="J404" s="20"/>
      <c r="K404" s="36"/>
      <c r="L404" s="20"/>
      <c r="M404" s="20"/>
      <c r="N404" s="20"/>
      <c r="O404" s="20"/>
      <c r="P404" s="20"/>
      <c r="Q404" s="20">
        <f t="shared" si="20"/>
        <v>2169</v>
      </c>
      <c r="R404" s="34"/>
      <c r="S404" s="34"/>
      <c r="T404" s="34"/>
      <c r="U404" s="34"/>
      <c r="V404" s="34"/>
      <c r="W404" s="34"/>
      <c r="X404" s="34"/>
      <c r="Y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</row>
    <row r="405" spans="1:17" ht="12.75">
      <c r="A405" s="73">
        <f t="shared" si="22"/>
        <v>395</v>
      </c>
      <c r="B405" s="9" t="s">
        <v>479</v>
      </c>
      <c r="C405" s="9">
        <v>11446</v>
      </c>
      <c r="D405" s="17" t="s">
        <v>585</v>
      </c>
      <c r="E405" s="20">
        <v>2074.69</v>
      </c>
      <c r="F405" s="20">
        <v>1998.35</v>
      </c>
      <c r="G405" s="20"/>
      <c r="H405" s="20"/>
      <c r="I405" s="20"/>
      <c r="J405" s="20"/>
      <c r="K405" s="22"/>
      <c r="L405" s="20"/>
      <c r="M405" s="20"/>
      <c r="N405" s="20"/>
      <c r="O405" s="20"/>
      <c r="P405" s="20"/>
      <c r="Q405" s="20">
        <f t="shared" si="20"/>
        <v>4073.04</v>
      </c>
    </row>
    <row r="406" spans="1:231" s="44" customFormat="1" ht="12.75">
      <c r="A406" s="73">
        <f t="shared" si="22"/>
        <v>396</v>
      </c>
      <c r="B406" s="9" t="s">
        <v>480</v>
      </c>
      <c r="C406" s="9">
        <v>11448</v>
      </c>
      <c r="D406" s="17" t="s">
        <v>585</v>
      </c>
      <c r="E406" s="20">
        <v>2454.99</v>
      </c>
      <c r="F406" s="20">
        <v>3051.56</v>
      </c>
      <c r="G406" s="20"/>
      <c r="H406" s="20"/>
      <c r="I406" s="20"/>
      <c r="J406" s="20"/>
      <c r="K406" s="22"/>
      <c r="L406" s="20"/>
      <c r="M406" s="20"/>
      <c r="N406" s="20"/>
      <c r="O406" s="20"/>
      <c r="P406" s="20"/>
      <c r="Q406" s="20">
        <f t="shared" si="20"/>
        <v>5506.549999999999</v>
      </c>
      <c r="R406" s="34"/>
      <c r="S406" s="34"/>
      <c r="T406" s="34"/>
      <c r="U406" s="34"/>
      <c r="V406" s="34"/>
      <c r="W406" s="34"/>
      <c r="X406" s="34"/>
      <c r="Y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</row>
    <row r="407" spans="1:17" ht="12.75">
      <c r="A407" s="73">
        <f t="shared" si="22"/>
        <v>397</v>
      </c>
      <c r="B407" s="9" t="s">
        <v>481</v>
      </c>
      <c r="C407" s="9">
        <v>11450</v>
      </c>
      <c r="D407" s="31" t="s">
        <v>588</v>
      </c>
      <c r="E407" s="20">
        <v>26369.53</v>
      </c>
      <c r="F407" s="20">
        <v>28201.24</v>
      </c>
      <c r="G407" s="20"/>
      <c r="H407" s="20"/>
      <c r="I407" s="20"/>
      <c r="J407" s="20"/>
      <c r="K407" s="37"/>
      <c r="L407" s="20"/>
      <c r="M407" s="20"/>
      <c r="N407" s="20"/>
      <c r="O407" s="20"/>
      <c r="P407" s="20"/>
      <c r="Q407" s="20">
        <f t="shared" si="20"/>
        <v>54570.770000000004</v>
      </c>
    </row>
    <row r="408" spans="1:17" ht="12.75">
      <c r="A408" s="73">
        <f t="shared" si="22"/>
        <v>398</v>
      </c>
      <c r="B408" s="47" t="s">
        <v>610</v>
      </c>
      <c r="C408" s="10"/>
      <c r="D408" s="45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>
        <f t="shared" si="20"/>
        <v>0</v>
      </c>
    </row>
    <row r="409" spans="1:17" ht="12.75">
      <c r="A409" s="73">
        <f t="shared" si="22"/>
        <v>399</v>
      </c>
      <c r="B409" s="9" t="s">
        <v>482</v>
      </c>
      <c r="C409" s="9">
        <v>23716</v>
      </c>
      <c r="D409" s="17">
        <v>1</v>
      </c>
      <c r="E409" s="22">
        <f>ROUND(0.04*521.42,0)*3.53</f>
        <v>74.13</v>
      </c>
      <c r="F409" s="22">
        <f>ROUND(0.04*409.08,0)*3.53</f>
        <v>56.48</v>
      </c>
      <c r="G409" s="22">
        <f>ROUND(0.04*366.33,0)*3.53</f>
        <v>52.949999999999996</v>
      </c>
      <c r="H409" s="22">
        <f>ROUND(0.04*254.17,0)*3.53</f>
        <v>35.3</v>
      </c>
      <c r="I409" s="20"/>
      <c r="J409" s="20"/>
      <c r="K409" s="22"/>
      <c r="L409" s="22"/>
      <c r="M409" s="22"/>
      <c r="N409" s="22"/>
      <c r="O409" s="22"/>
      <c r="P409" s="22"/>
      <c r="Q409" s="20">
        <f t="shared" si="20"/>
        <v>218.85999999999996</v>
      </c>
    </row>
    <row r="410" spans="1:17" ht="12.75">
      <c r="A410" s="73">
        <f t="shared" si="22"/>
        <v>400</v>
      </c>
      <c r="B410" s="10" t="s">
        <v>483</v>
      </c>
      <c r="C410" s="10">
        <v>21469</v>
      </c>
      <c r="D410" s="45">
        <v>2</v>
      </c>
      <c r="E410" s="43">
        <f>ROUND(0.04*521.42,0)*3.53*2</f>
        <v>148.26</v>
      </c>
      <c r="F410" s="43">
        <f>ROUND(0.04*409.08,0)*3.53*2</f>
        <v>112.96</v>
      </c>
      <c r="G410" s="43">
        <f>ROUND(0.04*366.33,0)*3.53*2</f>
        <v>105.89999999999999</v>
      </c>
      <c r="H410" s="43">
        <f>ROUND(0.04*254.17,0)*3.53*2</f>
        <v>70.6</v>
      </c>
      <c r="I410" s="43"/>
      <c r="J410" s="43"/>
      <c r="K410" s="43"/>
      <c r="L410" s="43"/>
      <c r="M410" s="43"/>
      <c r="N410" s="43"/>
      <c r="O410" s="43"/>
      <c r="P410" s="43"/>
      <c r="Q410" s="43">
        <f t="shared" si="20"/>
        <v>437.7199999999999</v>
      </c>
    </row>
    <row r="411" spans="1:17" ht="12.75">
      <c r="A411" s="73">
        <f t="shared" si="22"/>
        <v>401</v>
      </c>
      <c r="B411" s="9" t="s">
        <v>484</v>
      </c>
      <c r="C411" s="9">
        <v>21481</v>
      </c>
      <c r="D411" s="17">
        <v>2</v>
      </c>
      <c r="E411" s="22">
        <f>ROUND(0.04*521.42,0)*3.53*2</f>
        <v>148.26</v>
      </c>
      <c r="F411" s="22">
        <f>ROUND(0.04*409.08,0)*3.53*2</f>
        <v>112.96</v>
      </c>
      <c r="G411" s="22">
        <f>ROUND(0.04*366.33,0)*3.53*2</f>
        <v>105.89999999999999</v>
      </c>
      <c r="H411" s="22">
        <f>ROUND(0.04*254.17,0)*3.53*2</f>
        <v>70.6</v>
      </c>
      <c r="I411" s="22"/>
      <c r="J411" s="20"/>
      <c r="K411" s="22"/>
      <c r="L411" s="22"/>
      <c r="M411" s="22"/>
      <c r="N411" s="22"/>
      <c r="O411" s="22"/>
      <c r="P411" s="22"/>
      <c r="Q411" s="20">
        <f t="shared" si="20"/>
        <v>437.7199999999999</v>
      </c>
    </row>
    <row r="412" spans="1:17" ht="12.75">
      <c r="A412" s="73">
        <f t="shared" si="22"/>
        <v>402</v>
      </c>
      <c r="B412" s="9" t="s">
        <v>485</v>
      </c>
      <c r="C412" s="9">
        <v>21271</v>
      </c>
      <c r="D412" s="17" t="s">
        <v>585</v>
      </c>
      <c r="E412" s="20">
        <v>184.12</v>
      </c>
      <c r="F412" s="20">
        <v>176.29</v>
      </c>
      <c r="G412" s="20"/>
      <c r="H412" s="20"/>
      <c r="I412" s="20"/>
      <c r="J412" s="20"/>
      <c r="K412" s="22"/>
      <c r="L412" s="20"/>
      <c r="M412" s="20"/>
      <c r="N412" s="20"/>
      <c r="O412" s="20"/>
      <c r="P412" s="20"/>
      <c r="Q412" s="20">
        <f t="shared" si="20"/>
        <v>360.40999999999997</v>
      </c>
    </row>
    <row r="413" spans="1:17" ht="12.75">
      <c r="A413" s="73">
        <f t="shared" si="22"/>
        <v>403</v>
      </c>
      <c r="B413" s="47" t="s">
        <v>611</v>
      </c>
      <c r="C413" s="10"/>
      <c r="D413" s="45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>
        <f t="shared" si="20"/>
        <v>0</v>
      </c>
    </row>
    <row r="414" spans="1:17" ht="12.75">
      <c r="A414" s="73">
        <f t="shared" si="22"/>
        <v>404</v>
      </c>
      <c r="B414" s="9" t="s">
        <v>486</v>
      </c>
      <c r="C414" s="9">
        <v>21733</v>
      </c>
      <c r="D414" s="17">
        <v>1</v>
      </c>
      <c r="E414" s="22">
        <f>ROUND(0.04*521.42,0)*3.53</f>
        <v>74.13</v>
      </c>
      <c r="F414" s="22">
        <f>ROUND(0.04*409.08,0)*3.53</f>
        <v>56.48</v>
      </c>
      <c r="G414" s="22">
        <f>ROUND(0.04*366.33,0)*3.53</f>
        <v>52.949999999999996</v>
      </c>
      <c r="H414" s="22">
        <f>ROUND(0.04*254.17,0)*3.53</f>
        <v>35.3</v>
      </c>
      <c r="I414" s="20"/>
      <c r="J414" s="20"/>
      <c r="K414" s="22"/>
      <c r="L414" s="22"/>
      <c r="M414" s="22"/>
      <c r="N414" s="22"/>
      <c r="O414" s="22"/>
      <c r="P414" s="22"/>
      <c r="Q414" s="20">
        <f t="shared" si="20"/>
        <v>218.85999999999996</v>
      </c>
    </row>
    <row r="415" spans="1:17" ht="12.75">
      <c r="A415" s="73">
        <f t="shared" si="22"/>
        <v>405</v>
      </c>
      <c r="B415" s="9" t="s">
        <v>487</v>
      </c>
      <c r="C415" s="9">
        <v>21729</v>
      </c>
      <c r="D415" s="17">
        <v>2</v>
      </c>
      <c r="E415" s="22">
        <f>ROUND(0.04*521.42,0)*3.53*2</f>
        <v>148.26</v>
      </c>
      <c r="F415" s="22">
        <f>ROUND(0.04*409.08,0)*3.53*2</f>
        <v>112.96</v>
      </c>
      <c r="G415" s="22">
        <f>ROUND(0.04*366.33,0)*3.53*2</f>
        <v>105.89999999999999</v>
      </c>
      <c r="H415" s="22">
        <f>ROUND(0.04*254.17,0)*3.53*2</f>
        <v>70.6</v>
      </c>
      <c r="I415" s="22"/>
      <c r="J415" s="20"/>
      <c r="K415" s="22"/>
      <c r="L415" s="22"/>
      <c r="M415" s="22"/>
      <c r="N415" s="22"/>
      <c r="O415" s="22"/>
      <c r="P415" s="22"/>
      <c r="Q415" s="20">
        <f t="shared" si="20"/>
        <v>437.7199999999999</v>
      </c>
    </row>
    <row r="416" spans="1:17" ht="12.75">
      <c r="A416" s="73">
        <f t="shared" si="22"/>
        <v>406</v>
      </c>
      <c r="B416" s="9" t="s">
        <v>488</v>
      </c>
      <c r="C416" s="9">
        <v>21487</v>
      </c>
      <c r="D416" s="17">
        <v>1</v>
      </c>
      <c r="E416" s="22">
        <f>ROUND(0.04*521.42,0)*3.53*2</f>
        <v>148.26</v>
      </c>
      <c r="F416" s="22">
        <f>ROUND(0.04*409.08,0)*3.53*2</f>
        <v>112.96</v>
      </c>
      <c r="G416" s="22">
        <f>ROUND(0.04*366.33,0)*3.53*2</f>
        <v>105.89999999999999</v>
      </c>
      <c r="H416" s="22">
        <f>ROUND(0.04*254.17,0)*3.53*2</f>
        <v>70.6</v>
      </c>
      <c r="I416" s="22"/>
      <c r="J416" s="20"/>
      <c r="K416" s="22"/>
      <c r="L416" s="22"/>
      <c r="M416" s="22"/>
      <c r="N416" s="22"/>
      <c r="O416" s="22"/>
      <c r="P416" s="22"/>
      <c r="Q416" s="20">
        <f t="shared" si="20"/>
        <v>437.7199999999999</v>
      </c>
    </row>
    <row r="417" spans="1:17" ht="12.75">
      <c r="A417" s="73">
        <f t="shared" si="22"/>
        <v>407</v>
      </c>
      <c r="B417" s="10" t="s">
        <v>563</v>
      </c>
      <c r="C417" s="10">
        <v>10008</v>
      </c>
      <c r="D417" s="45" t="s">
        <v>584</v>
      </c>
      <c r="E417" s="46"/>
      <c r="F417" s="43"/>
      <c r="G417" s="43"/>
      <c r="H417" s="43"/>
      <c r="I417" s="43"/>
      <c r="J417" s="43"/>
      <c r="K417" s="43"/>
      <c r="L417" s="43"/>
      <c r="M417" s="46"/>
      <c r="N417" s="46"/>
      <c r="O417" s="46"/>
      <c r="P417" s="46"/>
      <c r="Q417" s="43">
        <f t="shared" si="20"/>
        <v>0</v>
      </c>
    </row>
    <row r="418" spans="1:17" ht="12.75">
      <c r="A418" s="73">
        <f t="shared" si="22"/>
        <v>408</v>
      </c>
      <c r="B418" s="9" t="s">
        <v>489</v>
      </c>
      <c r="C418" s="9">
        <v>12327</v>
      </c>
      <c r="D418" s="17" t="s">
        <v>585</v>
      </c>
      <c r="E418" s="20">
        <v>2704.86</v>
      </c>
      <c r="F418" s="20">
        <v>1938.21</v>
      </c>
      <c r="G418" s="20"/>
      <c r="H418" s="20"/>
      <c r="I418" s="20"/>
      <c r="J418" s="20"/>
      <c r="K418" s="22"/>
      <c r="L418" s="20"/>
      <c r="M418" s="20"/>
      <c r="N418" s="20"/>
      <c r="O418" s="20"/>
      <c r="P418" s="20"/>
      <c r="Q418" s="20">
        <f t="shared" si="20"/>
        <v>4643.07</v>
      </c>
    </row>
    <row r="419" spans="1:17" ht="12.75">
      <c r="A419" s="73">
        <f t="shared" si="22"/>
        <v>409</v>
      </c>
      <c r="B419" s="9" t="s">
        <v>490</v>
      </c>
      <c r="C419" s="9">
        <v>12308</v>
      </c>
      <c r="D419" s="17">
        <v>3</v>
      </c>
      <c r="E419" s="22">
        <f>ROUND(0.04*521.42,0)*3.53*3</f>
        <v>222.39</v>
      </c>
      <c r="F419" s="22">
        <f>ROUND(0.04*409.08,0)*3.53*3</f>
        <v>169.44</v>
      </c>
      <c r="G419" s="22">
        <f>ROUND(0.04*366.33,0)*3.53*3</f>
        <v>158.85</v>
      </c>
      <c r="H419" s="22">
        <f>ROUND(0.04*254.17,0)*3.53*3</f>
        <v>105.89999999999999</v>
      </c>
      <c r="I419" s="20"/>
      <c r="J419" s="20"/>
      <c r="K419" s="22"/>
      <c r="L419" s="22"/>
      <c r="M419" s="22"/>
      <c r="N419" s="22"/>
      <c r="O419" s="22"/>
      <c r="P419" s="22"/>
      <c r="Q419" s="20">
        <f t="shared" si="20"/>
        <v>656.5799999999999</v>
      </c>
    </row>
    <row r="420" spans="1:231" s="44" customFormat="1" ht="12.75">
      <c r="A420" s="73">
        <f t="shared" si="22"/>
        <v>410</v>
      </c>
      <c r="B420" s="9" t="s">
        <v>491</v>
      </c>
      <c r="C420" s="9">
        <v>12300</v>
      </c>
      <c r="D420" s="17" t="s">
        <v>584</v>
      </c>
      <c r="E420" s="21"/>
      <c r="F420" s="21"/>
      <c r="G420" s="21"/>
      <c r="H420" s="21"/>
      <c r="I420" s="20"/>
      <c r="J420" s="20"/>
      <c r="K420" s="22"/>
      <c r="L420" s="20"/>
      <c r="M420" s="21"/>
      <c r="N420" s="21"/>
      <c r="O420" s="21"/>
      <c r="P420" s="21"/>
      <c r="Q420" s="20">
        <f t="shared" si="20"/>
        <v>0</v>
      </c>
      <c r="R420" s="34"/>
      <c r="S420" s="34"/>
      <c r="T420" s="34"/>
      <c r="U420" s="34"/>
      <c r="V420" s="34"/>
      <c r="W420" s="34"/>
      <c r="X420" s="34"/>
      <c r="Y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</row>
    <row r="421" spans="1:231" s="44" customFormat="1" ht="12.75">
      <c r="A421" s="73">
        <f t="shared" si="22"/>
        <v>411</v>
      </c>
      <c r="B421" s="9" t="s">
        <v>492</v>
      </c>
      <c r="C421" s="9">
        <v>12301</v>
      </c>
      <c r="D421" s="17">
        <v>15</v>
      </c>
      <c r="E421" s="22">
        <f>ROUND(0.04*521.42,0)*3.53*15</f>
        <v>1111.9499999999998</v>
      </c>
      <c r="F421" s="22">
        <f>ROUND(0.04*409.08,0)*3.53*15</f>
        <v>847.1999999999999</v>
      </c>
      <c r="G421" s="22">
        <f>ROUND(0.04*366.33,0)*3.53*15</f>
        <v>794.2499999999999</v>
      </c>
      <c r="H421" s="22">
        <f>ROUND(0.04*254.17,0)*3.53*15</f>
        <v>529.5</v>
      </c>
      <c r="I421" s="20"/>
      <c r="J421" s="20"/>
      <c r="K421" s="22"/>
      <c r="L421" s="22"/>
      <c r="M421" s="22"/>
      <c r="N421" s="22"/>
      <c r="O421" s="22"/>
      <c r="P421" s="22"/>
      <c r="Q421" s="20">
        <f t="shared" si="20"/>
        <v>3282.8999999999996</v>
      </c>
      <c r="R421" s="34"/>
      <c r="S421" s="34"/>
      <c r="T421" s="34"/>
      <c r="U421" s="34"/>
      <c r="V421" s="34"/>
      <c r="W421" s="34"/>
      <c r="X421" s="34"/>
      <c r="Y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</row>
    <row r="422" spans="1:231" s="44" customFormat="1" ht="12.75">
      <c r="A422" s="73">
        <f t="shared" si="22"/>
        <v>412</v>
      </c>
      <c r="B422" s="9" t="s">
        <v>493</v>
      </c>
      <c r="C422" s="9">
        <v>21492</v>
      </c>
      <c r="D422" s="17" t="s">
        <v>584</v>
      </c>
      <c r="E422" s="21"/>
      <c r="F422" s="21"/>
      <c r="G422" s="21">
        <f>ROUND(0.04*366.33,0)*3.53*2</f>
        <v>105.89999999999999</v>
      </c>
      <c r="H422" s="21">
        <f>ROUND(0.04*254.17,0)*3.53*2</f>
        <v>70.6</v>
      </c>
      <c r="I422" s="20"/>
      <c r="J422" s="20"/>
      <c r="K422" s="22"/>
      <c r="L422" s="20"/>
      <c r="M422" s="21"/>
      <c r="N422" s="21"/>
      <c r="O422" s="21"/>
      <c r="P422" s="21"/>
      <c r="Q422" s="20">
        <f t="shared" si="20"/>
        <v>176.5</v>
      </c>
      <c r="R422" s="34"/>
      <c r="S422" s="34"/>
      <c r="T422" s="34"/>
      <c r="U422" s="34"/>
      <c r="V422" s="34"/>
      <c r="W422" s="34"/>
      <c r="X422" s="34"/>
      <c r="Y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</row>
    <row r="423" spans="1:231" s="44" customFormat="1" ht="12.75">
      <c r="A423" s="73">
        <f t="shared" si="22"/>
        <v>413</v>
      </c>
      <c r="B423" s="10" t="s">
        <v>494</v>
      </c>
      <c r="C423" s="10">
        <v>21489</v>
      </c>
      <c r="D423" s="45">
        <v>0</v>
      </c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>
        <f t="shared" si="20"/>
        <v>0</v>
      </c>
      <c r="R423" s="34"/>
      <c r="S423" s="34"/>
      <c r="T423" s="34"/>
      <c r="U423" s="34"/>
      <c r="V423" s="34"/>
      <c r="W423" s="34"/>
      <c r="X423" s="34"/>
      <c r="Y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</row>
    <row r="424" spans="1:17" ht="12.75">
      <c r="A424" s="73">
        <f t="shared" si="22"/>
        <v>414</v>
      </c>
      <c r="B424" s="9" t="s">
        <v>495</v>
      </c>
      <c r="C424" s="9">
        <v>21749</v>
      </c>
      <c r="D424" s="17">
        <v>1</v>
      </c>
      <c r="E424" s="22">
        <f>ROUND(0.04*521.42,0)*3.53</f>
        <v>74.13</v>
      </c>
      <c r="F424" s="22">
        <f>ROUND(0.04*409.08,0)*3.53</f>
        <v>56.48</v>
      </c>
      <c r="G424" s="22">
        <f>ROUND(0.04*366.33,0)*3.53</f>
        <v>52.949999999999996</v>
      </c>
      <c r="H424" s="22">
        <f>ROUND(0.04*254.17,0)*3.53</f>
        <v>35.3</v>
      </c>
      <c r="I424" s="20"/>
      <c r="J424" s="20"/>
      <c r="K424" s="22"/>
      <c r="L424" s="22"/>
      <c r="M424" s="22"/>
      <c r="N424" s="22"/>
      <c r="O424" s="22"/>
      <c r="P424" s="22"/>
      <c r="Q424" s="20">
        <f t="shared" si="20"/>
        <v>218.85999999999996</v>
      </c>
    </row>
    <row r="425" spans="1:17" ht="12.75">
      <c r="A425" s="73">
        <f t="shared" si="22"/>
        <v>415</v>
      </c>
      <c r="B425" s="9" t="s">
        <v>496</v>
      </c>
      <c r="C425" s="9">
        <v>12309</v>
      </c>
      <c r="D425" s="17" t="s">
        <v>584</v>
      </c>
      <c r="E425" s="21"/>
      <c r="F425" s="21"/>
      <c r="G425" s="21">
        <f>ROUND(0.04*366.33,0)*3.53*3</f>
        <v>158.85</v>
      </c>
      <c r="H425" s="21">
        <f>ROUND(0.04*254.17,0)*3.53*3</f>
        <v>105.89999999999999</v>
      </c>
      <c r="I425" s="20"/>
      <c r="J425" s="20"/>
      <c r="K425" s="22"/>
      <c r="L425" s="20"/>
      <c r="M425" s="21"/>
      <c r="N425" s="21"/>
      <c r="O425" s="21"/>
      <c r="P425" s="21"/>
      <c r="Q425" s="20">
        <f t="shared" si="20"/>
        <v>264.75</v>
      </c>
    </row>
    <row r="426" spans="1:17" ht="12.75">
      <c r="A426" s="73">
        <f t="shared" si="22"/>
        <v>416</v>
      </c>
      <c r="B426" s="9" t="s">
        <v>497</v>
      </c>
      <c r="C426" s="9">
        <v>12310</v>
      </c>
      <c r="D426" s="17">
        <v>10</v>
      </c>
      <c r="E426" s="22">
        <f>ROUND(0.04*521.42,0)*3.53*10</f>
        <v>741.3</v>
      </c>
      <c r="F426" s="22">
        <f>ROUND(0.04*409.08,0)*3.53*10</f>
        <v>564.8</v>
      </c>
      <c r="G426" s="22">
        <f>ROUND(0.04*366.33,0)*3.53*10</f>
        <v>529.5</v>
      </c>
      <c r="H426" s="22">
        <f>ROUND(0.04*254.17,0)*3.53*10</f>
        <v>353</v>
      </c>
      <c r="I426" s="20"/>
      <c r="J426" s="20"/>
      <c r="K426" s="22"/>
      <c r="L426" s="22"/>
      <c r="M426" s="22"/>
      <c r="N426" s="22"/>
      <c r="O426" s="22"/>
      <c r="P426" s="22"/>
      <c r="Q426" s="20">
        <f t="shared" si="20"/>
        <v>2188.6</v>
      </c>
    </row>
    <row r="427" spans="1:17" ht="12.75">
      <c r="A427" s="73">
        <f t="shared" si="22"/>
        <v>417</v>
      </c>
      <c r="B427" s="18" t="s">
        <v>498</v>
      </c>
      <c r="C427" s="18">
        <v>12311</v>
      </c>
      <c r="D427" s="19">
        <v>4</v>
      </c>
      <c r="E427" s="38">
        <f>ROUND(0.04*521.42,0)*3.53*4</f>
        <v>296.52</v>
      </c>
      <c r="F427" s="38">
        <f>ROUND(0.04*409.08,0)*3.53*4</f>
        <v>225.92</v>
      </c>
      <c r="G427" s="38">
        <f>ROUND(0.04*366.33,0)*3.53*4</f>
        <v>211.79999999999998</v>
      </c>
      <c r="H427" s="38">
        <f>ROUND(0.04*254.17,0)*3.53*4</f>
        <v>141.2</v>
      </c>
      <c r="I427" s="23"/>
      <c r="J427" s="23"/>
      <c r="K427" s="38"/>
      <c r="L427" s="38"/>
      <c r="M427" s="38"/>
      <c r="N427" s="38"/>
      <c r="O427" s="38"/>
      <c r="P427" s="38"/>
      <c r="Q427" s="20">
        <f t="shared" si="20"/>
        <v>875.4399999999998</v>
      </c>
    </row>
    <row r="428" spans="1:17" ht="12.75">
      <c r="A428" s="73">
        <f t="shared" si="22"/>
        <v>418</v>
      </c>
      <c r="B428" s="40" t="s">
        <v>499</v>
      </c>
      <c r="C428" s="18">
        <v>12655</v>
      </c>
      <c r="D428" s="19">
        <v>3</v>
      </c>
      <c r="E428" s="38">
        <f>ROUND(0.04*521.42,0)*3.53*3</f>
        <v>222.39</v>
      </c>
      <c r="F428" s="38">
        <f>ROUND(0.04*409.08,0)*3.53*3</f>
        <v>169.44</v>
      </c>
      <c r="G428" s="38">
        <f>ROUND(0.04*366.33,0)*3.53*3</f>
        <v>158.85</v>
      </c>
      <c r="H428" s="38">
        <f>ROUND(0.04*254.17,0)*3.53*3</f>
        <v>105.89999999999999</v>
      </c>
      <c r="I428" s="23"/>
      <c r="J428" s="23"/>
      <c r="K428" s="38"/>
      <c r="L428" s="38"/>
      <c r="M428" s="38"/>
      <c r="N428" s="38"/>
      <c r="O428" s="38"/>
      <c r="P428" s="38"/>
      <c r="Q428" s="20">
        <f t="shared" si="20"/>
        <v>656.5799999999999</v>
      </c>
    </row>
    <row r="429" spans="1:17" ht="12.75">
      <c r="A429" s="73">
        <f t="shared" si="22"/>
        <v>419</v>
      </c>
      <c r="B429" s="60" t="s">
        <v>500</v>
      </c>
      <c r="C429" s="62">
        <v>12662</v>
      </c>
      <c r="D429" s="65" t="s">
        <v>584</v>
      </c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43">
        <f t="shared" si="20"/>
        <v>0</v>
      </c>
    </row>
    <row r="430" spans="1:17" ht="12.75">
      <c r="A430" s="73">
        <f t="shared" si="22"/>
        <v>420</v>
      </c>
      <c r="B430" s="60" t="s">
        <v>501</v>
      </c>
      <c r="C430" s="62">
        <v>12667</v>
      </c>
      <c r="D430" s="65">
        <v>0</v>
      </c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43">
        <f t="shared" si="20"/>
        <v>0</v>
      </c>
    </row>
    <row r="431" spans="1:17" ht="12.75">
      <c r="A431" s="73">
        <f t="shared" si="22"/>
        <v>421</v>
      </c>
      <c r="B431" s="53" t="s">
        <v>502</v>
      </c>
      <c r="C431" s="18">
        <v>21836</v>
      </c>
      <c r="D431" s="19">
        <v>0</v>
      </c>
      <c r="E431" s="23"/>
      <c r="F431" s="23"/>
      <c r="G431" s="23"/>
      <c r="H431" s="23"/>
      <c r="I431" s="23"/>
      <c r="J431" s="23"/>
      <c r="K431" s="38"/>
      <c r="L431" s="23"/>
      <c r="M431" s="23"/>
      <c r="N431" s="23"/>
      <c r="O431" s="23"/>
      <c r="P431" s="23"/>
      <c r="Q431" s="20">
        <f t="shared" si="20"/>
        <v>0</v>
      </c>
    </row>
    <row r="432" spans="1:17" ht="12.75">
      <c r="A432" s="73">
        <f t="shared" si="22"/>
        <v>422</v>
      </c>
      <c r="B432" s="53" t="s">
        <v>503</v>
      </c>
      <c r="C432" s="18">
        <v>19757</v>
      </c>
      <c r="D432" s="63" t="s">
        <v>588</v>
      </c>
      <c r="E432" s="23">
        <v>2373.12</v>
      </c>
      <c r="F432" s="23">
        <v>2599.84</v>
      </c>
      <c r="G432" s="23"/>
      <c r="H432" s="23"/>
      <c r="I432" s="23"/>
      <c r="J432" s="23"/>
      <c r="K432" s="38"/>
      <c r="L432" s="23"/>
      <c r="M432" s="23"/>
      <c r="N432" s="23"/>
      <c r="O432" s="23"/>
      <c r="P432" s="23"/>
      <c r="Q432" s="20">
        <f t="shared" si="20"/>
        <v>4972.96</v>
      </c>
    </row>
    <row r="433" spans="1:17" ht="12.75">
      <c r="A433" s="73">
        <f t="shared" si="22"/>
        <v>423</v>
      </c>
      <c r="B433" s="53" t="s">
        <v>504</v>
      </c>
      <c r="C433" s="18">
        <v>19759</v>
      </c>
      <c r="D433" s="63" t="s">
        <v>588</v>
      </c>
      <c r="E433" s="23">
        <v>4397.56</v>
      </c>
      <c r="F433" s="38">
        <v>4322.28</v>
      </c>
      <c r="G433" s="38"/>
      <c r="H433" s="38"/>
      <c r="I433" s="23"/>
      <c r="J433" s="23"/>
      <c r="K433" s="38"/>
      <c r="L433" s="23"/>
      <c r="M433" s="23"/>
      <c r="N433" s="23"/>
      <c r="O433" s="23"/>
      <c r="P433" s="23"/>
      <c r="Q433" s="20">
        <f t="shared" si="20"/>
        <v>8719.84</v>
      </c>
    </row>
    <row r="434" spans="1:17" ht="12.75">
      <c r="A434" s="73">
        <f t="shared" si="22"/>
        <v>424</v>
      </c>
      <c r="B434" s="53" t="s">
        <v>505</v>
      </c>
      <c r="C434" s="18">
        <v>12760</v>
      </c>
      <c r="D434" s="19" t="s">
        <v>585</v>
      </c>
      <c r="E434" s="23">
        <v>7148.21</v>
      </c>
      <c r="F434" s="23">
        <v>6982.85</v>
      </c>
      <c r="G434" s="23"/>
      <c r="H434" s="23"/>
      <c r="I434" s="23"/>
      <c r="J434" s="23"/>
      <c r="K434" s="38"/>
      <c r="L434" s="23"/>
      <c r="M434" s="23"/>
      <c r="N434" s="23"/>
      <c r="O434" s="23"/>
      <c r="P434" s="23"/>
      <c r="Q434" s="20">
        <f t="shared" si="20"/>
        <v>14131.060000000001</v>
      </c>
    </row>
    <row r="435" spans="1:17" ht="12.75">
      <c r="A435" s="73">
        <f t="shared" si="22"/>
        <v>425</v>
      </c>
      <c r="B435" s="53" t="s">
        <v>506</v>
      </c>
      <c r="C435" s="18">
        <v>12761</v>
      </c>
      <c r="D435" s="63" t="s">
        <v>588</v>
      </c>
      <c r="E435" s="23">
        <v>850.08</v>
      </c>
      <c r="F435" s="23">
        <v>834.25</v>
      </c>
      <c r="G435" s="23"/>
      <c r="H435" s="23"/>
      <c r="I435" s="23"/>
      <c r="J435" s="23"/>
      <c r="K435" s="38"/>
      <c r="L435" s="23"/>
      <c r="M435" s="23"/>
      <c r="N435" s="23"/>
      <c r="O435" s="23"/>
      <c r="P435" s="23"/>
      <c r="Q435" s="20">
        <f t="shared" si="20"/>
        <v>1684.33</v>
      </c>
    </row>
    <row r="436" spans="1:17" ht="12.75">
      <c r="A436" s="73">
        <f t="shared" si="22"/>
        <v>426</v>
      </c>
      <c r="B436" s="53" t="s">
        <v>507</v>
      </c>
      <c r="C436" s="18">
        <v>12762</v>
      </c>
      <c r="D436" s="19" t="s">
        <v>585</v>
      </c>
      <c r="E436" s="23">
        <v>5512.73</v>
      </c>
      <c r="F436" s="23">
        <v>4703.75</v>
      </c>
      <c r="G436" s="23"/>
      <c r="H436" s="23"/>
      <c r="I436" s="23"/>
      <c r="J436" s="23"/>
      <c r="K436" s="38"/>
      <c r="L436" s="23"/>
      <c r="M436" s="23"/>
      <c r="N436" s="23"/>
      <c r="O436" s="23"/>
      <c r="P436" s="23"/>
      <c r="Q436" s="20">
        <f t="shared" si="20"/>
        <v>10216.48</v>
      </c>
    </row>
    <row r="437" spans="1:17" ht="12.75">
      <c r="A437" s="73">
        <f t="shared" si="22"/>
        <v>427</v>
      </c>
      <c r="B437" s="59" t="s">
        <v>508</v>
      </c>
      <c r="C437" s="62">
        <v>12365</v>
      </c>
      <c r="D437" s="63" t="s">
        <v>588</v>
      </c>
      <c r="E437" s="23">
        <v>26562.77</v>
      </c>
      <c r="F437" s="23">
        <v>21929.31</v>
      </c>
      <c r="G437" s="23"/>
      <c r="H437" s="23"/>
      <c r="I437" s="23"/>
      <c r="J437" s="23"/>
      <c r="K437" s="38"/>
      <c r="L437" s="23"/>
      <c r="M437" s="23"/>
      <c r="N437" s="23"/>
      <c r="O437" s="23"/>
      <c r="P437" s="23"/>
      <c r="Q437" s="20">
        <f aca="true" t="shared" si="23" ref="Q437:Q500">E437+F437+G437+H437+I437+J437+K437+L437+M437+N437+O437+P437</f>
        <v>48492.08</v>
      </c>
    </row>
    <row r="438" spans="1:17" ht="12.75">
      <c r="A438" s="73">
        <f t="shared" si="22"/>
        <v>428</v>
      </c>
      <c r="B438" s="59" t="s">
        <v>508</v>
      </c>
      <c r="C438" s="62">
        <v>12363</v>
      </c>
      <c r="D438" s="19"/>
      <c r="E438" s="23">
        <v>92035.8</v>
      </c>
      <c r="F438" s="23">
        <v>79864.2</v>
      </c>
      <c r="G438" s="23"/>
      <c r="H438" s="23"/>
      <c r="I438" s="23"/>
      <c r="J438" s="23"/>
      <c r="K438" s="38"/>
      <c r="L438" s="23"/>
      <c r="M438" s="23"/>
      <c r="N438" s="23"/>
      <c r="O438" s="23"/>
      <c r="P438" s="23"/>
      <c r="Q438" s="20">
        <f t="shared" si="23"/>
        <v>171900</v>
      </c>
    </row>
    <row r="439" spans="1:17" ht="12.75">
      <c r="A439" s="73">
        <f t="shared" si="22"/>
        <v>429</v>
      </c>
      <c r="B439" s="53" t="s">
        <v>509</v>
      </c>
      <c r="C439" s="18">
        <v>12364</v>
      </c>
      <c r="D439" s="63" t="s">
        <v>588</v>
      </c>
      <c r="E439" s="23">
        <v>7807.8</v>
      </c>
      <c r="F439" s="23">
        <v>7469.2</v>
      </c>
      <c r="G439" s="23"/>
      <c r="H439" s="23"/>
      <c r="I439" s="23"/>
      <c r="J439" s="23"/>
      <c r="K439" s="38"/>
      <c r="L439" s="23"/>
      <c r="M439" s="23"/>
      <c r="N439" s="23"/>
      <c r="O439" s="23"/>
      <c r="P439" s="23"/>
      <c r="Q439" s="20">
        <f t="shared" si="23"/>
        <v>15277</v>
      </c>
    </row>
    <row r="440" spans="1:17" ht="12.75">
      <c r="A440" s="73">
        <f t="shared" si="22"/>
        <v>430</v>
      </c>
      <c r="B440" s="53" t="s">
        <v>510</v>
      </c>
      <c r="C440" s="18">
        <v>33018</v>
      </c>
      <c r="D440" s="19" t="s">
        <v>591</v>
      </c>
      <c r="E440" s="66"/>
      <c r="F440" s="23"/>
      <c r="G440" s="23"/>
      <c r="H440" s="23"/>
      <c r="I440" s="23"/>
      <c r="J440" s="23"/>
      <c r="K440" s="38"/>
      <c r="L440" s="23"/>
      <c r="M440" s="23"/>
      <c r="N440" s="23"/>
      <c r="O440" s="23"/>
      <c r="P440" s="23"/>
      <c r="Q440" s="20">
        <f t="shared" si="23"/>
        <v>0</v>
      </c>
    </row>
    <row r="441" spans="1:17" ht="12.75">
      <c r="A441" s="73">
        <f t="shared" si="22"/>
        <v>431</v>
      </c>
      <c r="B441" s="53" t="s">
        <v>511</v>
      </c>
      <c r="C441" s="18">
        <v>12673</v>
      </c>
      <c r="D441" s="63" t="s">
        <v>588</v>
      </c>
      <c r="E441" s="23">
        <v>4949.09</v>
      </c>
      <c r="F441" s="23">
        <v>7053.85</v>
      </c>
      <c r="G441" s="23"/>
      <c r="H441" s="23"/>
      <c r="I441" s="23"/>
      <c r="J441" s="23"/>
      <c r="K441" s="38"/>
      <c r="L441" s="23"/>
      <c r="M441" s="23"/>
      <c r="N441" s="23"/>
      <c r="O441" s="23"/>
      <c r="P441" s="23"/>
      <c r="Q441" s="20">
        <f t="shared" si="23"/>
        <v>12002.94</v>
      </c>
    </row>
    <row r="442" spans="1:17" ht="12.75">
      <c r="A442" s="73">
        <f t="shared" si="22"/>
        <v>432</v>
      </c>
      <c r="B442" s="53" t="s">
        <v>512</v>
      </c>
      <c r="C442" s="18">
        <v>12752</v>
      </c>
      <c r="D442" s="63" t="s">
        <v>588</v>
      </c>
      <c r="E442" s="23">
        <v>7911.58</v>
      </c>
      <c r="F442" s="23">
        <v>8825.3</v>
      </c>
      <c r="G442" s="23"/>
      <c r="H442" s="23"/>
      <c r="I442" s="23"/>
      <c r="J442" s="23"/>
      <c r="K442" s="38"/>
      <c r="L442" s="23"/>
      <c r="M442" s="23"/>
      <c r="N442" s="23"/>
      <c r="O442" s="23"/>
      <c r="P442" s="23"/>
      <c r="Q442" s="20">
        <f t="shared" si="23"/>
        <v>16736.879999999997</v>
      </c>
    </row>
    <row r="443" spans="1:17" ht="12.75">
      <c r="A443" s="73">
        <f t="shared" si="22"/>
        <v>433</v>
      </c>
      <c r="B443" s="53" t="s">
        <v>513</v>
      </c>
      <c r="C443" s="18">
        <v>12755</v>
      </c>
      <c r="D443" s="63" t="s">
        <v>588</v>
      </c>
      <c r="E443" s="23">
        <v>4017.26</v>
      </c>
      <c r="F443" s="23">
        <v>4512.05</v>
      </c>
      <c r="G443" s="23"/>
      <c r="H443" s="23"/>
      <c r="I443" s="23"/>
      <c r="J443" s="23"/>
      <c r="K443" s="38"/>
      <c r="L443" s="23"/>
      <c r="M443" s="23"/>
      <c r="N443" s="23"/>
      <c r="O443" s="23"/>
      <c r="P443" s="23"/>
      <c r="Q443" s="20">
        <f t="shared" si="23"/>
        <v>8529.310000000001</v>
      </c>
    </row>
    <row r="444" spans="1:17" ht="12.75">
      <c r="A444" s="73">
        <f t="shared" si="22"/>
        <v>434</v>
      </c>
      <c r="B444" s="53" t="s">
        <v>514</v>
      </c>
      <c r="C444" s="18">
        <v>19760</v>
      </c>
      <c r="D444" s="63" t="s">
        <v>588</v>
      </c>
      <c r="E444" s="23">
        <v>14060.73</v>
      </c>
      <c r="F444" s="23">
        <v>13871.45</v>
      </c>
      <c r="G444" s="23"/>
      <c r="H444" s="23"/>
      <c r="I444" s="23"/>
      <c r="J444" s="23"/>
      <c r="K444" s="38"/>
      <c r="L444" s="23"/>
      <c r="M444" s="23"/>
      <c r="N444" s="23"/>
      <c r="O444" s="23"/>
      <c r="P444" s="23"/>
      <c r="Q444" s="20">
        <f t="shared" si="23"/>
        <v>27932.18</v>
      </c>
    </row>
    <row r="445" spans="1:17" ht="12.75">
      <c r="A445" s="73">
        <f t="shared" si="22"/>
        <v>435</v>
      </c>
      <c r="B445" s="53" t="s">
        <v>515</v>
      </c>
      <c r="C445" s="18">
        <v>12753</v>
      </c>
      <c r="D445" s="63" t="s">
        <v>588</v>
      </c>
      <c r="E445" s="23">
        <v>4108.25</v>
      </c>
      <c r="F445" s="23">
        <v>4927.4</v>
      </c>
      <c r="G445" s="23"/>
      <c r="H445" s="23"/>
      <c r="I445" s="23"/>
      <c r="J445" s="23"/>
      <c r="K445" s="38"/>
      <c r="L445" s="23"/>
      <c r="M445" s="23"/>
      <c r="N445" s="23"/>
      <c r="O445" s="23"/>
      <c r="P445" s="23"/>
      <c r="Q445" s="20">
        <f t="shared" si="23"/>
        <v>9035.65</v>
      </c>
    </row>
    <row r="446" spans="1:17" ht="12.75">
      <c r="A446" s="73">
        <f t="shared" si="22"/>
        <v>436</v>
      </c>
      <c r="B446" s="53" t="s">
        <v>516</v>
      </c>
      <c r="C446" s="18">
        <v>21784</v>
      </c>
      <c r="D446" s="19">
        <v>2</v>
      </c>
      <c r="E446" s="38">
        <f>ROUND(0.04*521.42,0)*3.53*2</f>
        <v>148.26</v>
      </c>
      <c r="F446" s="38">
        <f>ROUND(0.04*409.08,0)*3.53*2</f>
        <v>112.96</v>
      </c>
      <c r="G446" s="38">
        <f>ROUND(0.04*366.33,0)*3.53*2</f>
        <v>105.89999999999999</v>
      </c>
      <c r="H446" s="38">
        <f>ROUND(0.04*254.17,0)*3.53*2</f>
        <v>70.6</v>
      </c>
      <c r="I446" s="38"/>
      <c r="J446" s="23"/>
      <c r="K446" s="38"/>
      <c r="L446" s="38"/>
      <c r="M446" s="38"/>
      <c r="N446" s="38"/>
      <c r="O446" s="38"/>
      <c r="P446" s="38"/>
      <c r="Q446" s="20">
        <f t="shared" si="23"/>
        <v>437.7199999999999</v>
      </c>
    </row>
    <row r="447" spans="1:17" ht="12.75">
      <c r="A447" s="73">
        <f t="shared" si="22"/>
        <v>437</v>
      </c>
      <c r="B447" s="53" t="s">
        <v>517</v>
      </c>
      <c r="C447" s="18">
        <v>21786</v>
      </c>
      <c r="D447" s="19">
        <v>2</v>
      </c>
      <c r="E447" s="38">
        <f>ROUND(0.04*521.42,0)*3.53*2</f>
        <v>148.26</v>
      </c>
      <c r="F447" s="38">
        <f>ROUND(0.04*409.08,0)*3.53*2</f>
        <v>112.96</v>
      </c>
      <c r="G447" s="38">
        <f>ROUND(0.04*366.33,0)*3.53*2</f>
        <v>105.89999999999999</v>
      </c>
      <c r="H447" s="38">
        <f>ROUND(0.04*254.17,0)*3.53*2</f>
        <v>70.6</v>
      </c>
      <c r="I447" s="38"/>
      <c r="J447" s="23"/>
      <c r="K447" s="38"/>
      <c r="L447" s="38"/>
      <c r="M447" s="38"/>
      <c r="N447" s="38"/>
      <c r="O447" s="38"/>
      <c r="P447" s="38"/>
      <c r="Q447" s="20">
        <f t="shared" si="23"/>
        <v>437.7199999999999</v>
      </c>
    </row>
    <row r="448" spans="1:17" ht="12.75">
      <c r="A448" s="73">
        <f t="shared" si="22"/>
        <v>438</v>
      </c>
      <c r="B448" s="59" t="s">
        <v>518</v>
      </c>
      <c r="C448" s="62">
        <v>21780</v>
      </c>
      <c r="D448" s="65" t="s">
        <v>584</v>
      </c>
      <c r="E448" s="91"/>
      <c r="F448" s="66"/>
      <c r="G448" s="66"/>
      <c r="H448" s="66"/>
      <c r="I448" s="66"/>
      <c r="J448" s="66"/>
      <c r="K448" s="66"/>
      <c r="L448" s="66"/>
      <c r="M448" s="91"/>
      <c r="N448" s="91"/>
      <c r="O448" s="91"/>
      <c r="P448" s="91"/>
      <c r="Q448" s="43">
        <f t="shared" si="23"/>
        <v>0</v>
      </c>
    </row>
    <row r="449" spans="1:17" ht="12.75">
      <c r="A449" s="73">
        <f t="shared" si="22"/>
        <v>439</v>
      </c>
      <c r="B449" s="58" t="s">
        <v>612</v>
      </c>
      <c r="C449" s="62"/>
      <c r="D449" s="65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43">
        <f t="shared" si="23"/>
        <v>0</v>
      </c>
    </row>
    <row r="450" spans="1:17" ht="12.75">
      <c r="A450" s="73">
        <f t="shared" si="22"/>
        <v>440</v>
      </c>
      <c r="B450" s="53" t="s">
        <v>519</v>
      </c>
      <c r="C450" s="18">
        <v>12754</v>
      </c>
      <c r="D450" s="63" t="s">
        <v>588</v>
      </c>
      <c r="E450" s="23">
        <v>5978.28</v>
      </c>
      <c r="F450" s="23">
        <v>6020.8</v>
      </c>
      <c r="G450" s="23"/>
      <c r="H450" s="23"/>
      <c r="I450" s="23"/>
      <c r="J450" s="23"/>
      <c r="K450" s="38"/>
      <c r="L450" s="23"/>
      <c r="M450" s="23"/>
      <c r="N450" s="23"/>
      <c r="O450" s="23"/>
      <c r="P450" s="23"/>
      <c r="Q450" s="20">
        <f t="shared" si="23"/>
        <v>11999.08</v>
      </c>
    </row>
    <row r="451" spans="1:17" ht="12.75">
      <c r="A451" s="73">
        <f t="shared" si="22"/>
        <v>441</v>
      </c>
      <c r="B451" s="53" t="s">
        <v>520</v>
      </c>
      <c r="C451" s="18">
        <v>12756</v>
      </c>
      <c r="D451" s="19" t="s">
        <v>590</v>
      </c>
      <c r="E451" s="23">
        <v>204.74</v>
      </c>
      <c r="F451" s="23">
        <v>187.09</v>
      </c>
      <c r="G451" s="23"/>
      <c r="H451" s="23"/>
      <c r="I451" s="23"/>
      <c r="J451" s="23"/>
      <c r="K451" s="68"/>
      <c r="L451" s="23"/>
      <c r="M451" s="23"/>
      <c r="N451" s="23"/>
      <c r="O451" s="23"/>
      <c r="P451" s="23"/>
      <c r="Q451" s="20">
        <f t="shared" si="23"/>
        <v>391.83000000000004</v>
      </c>
    </row>
    <row r="452" spans="1:17" ht="12.75">
      <c r="A452" s="73">
        <f t="shared" si="22"/>
        <v>442</v>
      </c>
      <c r="B452" s="53" t="s">
        <v>521</v>
      </c>
      <c r="C452" s="18">
        <v>21497</v>
      </c>
      <c r="D452" s="19" t="s">
        <v>584</v>
      </c>
      <c r="E452" s="67"/>
      <c r="F452" s="23"/>
      <c r="G452" s="23"/>
      <c r="H452" s="23"/>
      <c r="I452" s="23"/>
      <c r="J452" s="23"/>
      <c r="K452" s="38"/>
      <c r="L452" s="23"/>
      <c r="M452" s="67"/>
      <c r="N452" s="67"/>
      <c r="O452" s="67"/>
      <c r="P452" s="67"/>
      <c r="Q452" s="20">
        <f t="shared" si="23"/>
        <v>0</v>
      </c>
    </row>
    <row r="453" spans="1:17" ht="12.75">
      <c r="A453" s="73">
        <f t="shared" si="22"/>
        <v>443</v>
      </c>
      <c r="B453" s="53" t="s">
        <v>522</v>
      </c>
      <c r="C453" s="18">
        <v>21278</v>
      </c>
      <c r="D453" s="19">
        <v>4</v>
      </c>
      <c r="E453" s="38">
        <f>ROUND(0.04*521.42,0)*3.53*4</f>
        <v>296.52</v>
      </c>
      <c r="F453" s="38">
        <f>ROUND(0.04*409.08,0)*3.53*4</f>
        <v>225.92</v>
      </c>
      <c r="G453" s="38">
        <f>ROUND(0.04*366.33,0)*3.53*4</f>
        <v>211.79999999999998</v>
      </c>
      <c r="H453" s="38">
        <f>ROUND(0.04*254.17,0)*3.53*4</f>
        <v>141.2</v>
      </c>
      <c r="I453" s="23"/>
      <c r="J453" s="23"/>
      <c r="K453" s="38"/>
      <c r="L453" s="38"/>
      <c r="M453" s="38"/>
      <c r="N453" s="38"/>
      <c r="O453" s="38"/>
      <c r="P453" s="38"/>
      <c r="Q453" s="20">
        <f t="shared" si="23"/>
        <v>875.4399999999998</v>
      </c>
    </row>
    <row r="454" spans="1:17" ht="12.75">
      <c r="A454" s="73">
        <f t="shared" si="22"/>
        <v>444</v>
      </c>
      <c r="B454" s="53" t="s">
        <v>523</v>
      </c>
      <c r="C454" s="18">
        <v>21272</v>
      </c>
      <c r="D454" s="19">
        <v>3</v>
      </c>
      <c r="E454" s="38">
        <f>ROUND(0.04*521.42,0)*3.53*3</f>
        <v>222.39</v>
      </c>
      <c r="F454" s="38">
        <f>ROUND(0.04*409.08,0)*3.53*3</f>
        <v>169.44</v>
      </c>
      <c r="G454" s="38">
        <f>ROUND(0.04*366.33,0)*3.53*3</f>
        <v>158.85</v>
      </c>
      <c r="H454" s="38">
        <f>ROUND(0.04*254.17,0)*3.53*3</f>
        <v>105.89999999999999</v>
      </c>
      <c r="I454" s="23"/>
      <c r="J454" s="23"/>
      <c r="K454" s="38"/>
      <c r="L454" s="38"/>
      <c r="M454" s="38"/>
      <c r="N454" s="38"/>
      <c r="O454" s="38"/>
      <c r="P454" s="38"/>
      <c r="Q454" s="20">
        <f t="shared" si="23"/>
        <v>656.5799999999999</v>
      </c>
    </row>
    <row r="455" spans="1:17" ht="12.75">
      <c r="A455" s="73">
        <f t="shared" si="22"/>
        <v>445</v>
      </c>
      <c r="B455" s="58" t="s">
        <v>613</v>
      </c>
      <c r="C455" s="62"/>
      <c r="D455" s="65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43">
        <f t="shared" si="23"/>
        <v>0</v>
      </c>
    </row>
    <row r="456" spans="1:17" ht="12.75">
      <c r="A456" s="73">
        <f t="shared" si="22"/>
        <v>446</v>
      </c>
      <c r="B456" s="59" t="s">
        <v>524</v>
      </c>
      <c r="C456" s="62">
        <v>12682</v>
      </c>
      <c r="D456" s="65">
        <v>0</v>
      </c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43">
        <f t="shared" si="23"/>
        <v>0</v>
      </c>
    </row>
    <row r="457" spans="1:17" ht="12.75">
      <c r="A457" s="73">
        <f t="shared" si="22"/>
        <v>447</v>
      </c>
      <c r="B457" s="53" t="s">
        <v>525</v>
      </c>
      <c r="C457" s="18">
        <v>12684</v>
      </c>
      <c r="D457" s="19" t="s">
        <v>584</v>
      </c>
      <c r="E457" s="23"/>
      <c r="F457" s="23"/>
      <c r="G457" s="21">
        <f>ROUND(0.04*366.33,0)*3.53*4</f>
        <v>211.79999999999998</v>
      </c>
      <c r="H457" s="21">
        <f>ROUND(0.04*254.17,0)*3.53*4</f>
        <v>141.2</v>
      </c>
      <c r="I457" s="23"/>
      <c r="J457" s="23"/>
      <c r="K457" s="38"/>
      <c r="L457" s="23"/>
      <c r="M457" s="23"/>
      <c r="N457" s="23"/>
      <c r="O457" s="23"/>
      <c r="P457" s="23"/>
      <c r="Q457" s="20">
        <f t="shared" si="23"/>
        <v>353</v>
      </c>
    </row>
    <row r="458" spans="1:17" ht="12.75">
      <c r="A458" s="73">
        <f t="shared" si="22"/>
        <v>448</v>
      </c>
      <c r="B458" s="58" t="s">
        <v>614</v>
      </c>
      <c r="C458" s="62"/>
      <c r="D458" s="65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43">
        <f t="shared" si="23"/>
        <v>0</v>
      </c>
    </row>
    <row r="459" spans="1:17" ht="12.75">
      <c r="A459" s="73">
        <f t="shared" si="22"/>
        <v>449</v>
      </c>
      <c r="B459" s="59" t="s">
        <v>526</v>
      </c>
      <c r="C459" s="62">
        <v>12687</v>
      </c>
      <c r="D459" s="65">
        <v>4</v>
      </c>
      <c r="E459" s="66">
        <f>ROUND(0.04*521.42,0)*3.53*4</f>
        <v>296.52</v>
      </c>
      <c r="F459" s="66">
        <f>ROUND(0.04*409.08,0)*3.53*4</f>
        <v>225.92</v>
      </c>
      <c r="G459" s="66">
        <f>ROUND(0.04*366.33,0)*3.53*4</f>
        <v>211.79999999999998</v>
      </c>
      <c r="H459" s="66">
        <f>ROUND(0.04*254.17,0)*3.53*4</f>
        <v>141.2</v>
      </c>
      <c r="I459" s="66"/>
      <c r="J459" s="66"/>
      <c r="K459" s="66"/>
      <c r="L459" s="66"/>
      <c r="M459" s="66"/>
      <c r="N459" s="66"/>
      <c r="O459" s="66"/>
      <c r="P459" s="66"/>
      <c r="Q459" s="43">
        <f t="shared" si="23"/>
        <v>875.4399999999998</v>
      </c>
    </row>
    <row r="460" spans="1:18" ht="12.75">
      <c r="A460" s="73">
        <f t="shared" si="22"/>
        <v>450</v>
      </c>
      <c r="B460" s="59" t="s">
        <v>527</v>
      </c>
      <c r="C460" s="62">
        <v>12690</v>
      </c>
      <c r="D460" s="65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43">
        <f t="shared" si="23"/>
        <v>0</v>
      </c>
      <c r="R460" s="97" t="s">
        <v>733</v>
      </c>
    </row>
    <row r="461" spans="1:17" ht="12.75">
      <c r="A461" s="73">
        <f aca="true" t="shared" si="24" ref="A461:A497">A460+1</f>
        <v>451</v>
      </c>
      <c r="B461" s="59" t="s">
        <v>595</v>
      </c>
      <c r="C461" s="62"/>
      <c r="D461" s="65">
        <v>4</v>
      </c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43">
        <f t="shared" si="23"/>
        <v>0</v>
      </c>
    </row>
    <row r="462" spans="1:17" ht="12.75">
      <c r="A462" s="73">
        <f t="shared" si="24"/>
        <v>452</v>
      </c>
      <c r="B462" s="58" t="s">
        <v>615</v>
      </c>
      <c r="C462" s="62"/>
      <c r="D462" s="65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43">
        <f t="shared" si="23"/>
        <v>0</v>
      </c>
    </row>
    <row r="463" spans="1:17" ht="12.75">
      <c r="A463" s="73">
        <f t="shared" si="24"/>
        <v>453</v>
      </c>
      <c r="B463" s="53" t="s">
        <v>528</v>
      </c>
      <c r="C463" s="18">
        <v>12697</v>
      </c>
      <c r="D463" s="19">
        <v>4</v>
      </c>
      <c r="E463" s="38">
        <f>ROUND(0.04*521.42,0)*3.53*4</f>
        <v>296.52</v>
      </c>
      <c r="F463" s="38">
        <f>ROUND(0.04*409.08,0)*3.53*4</f>
        <v>225.92</v>
      </c>
      <c r="G463" s="38">
        <f>ROUND(0.04*366.33,0)*3.53*4</f>
        <v>211.79999999999998</v>
      </c>
      <c r="H463" s="38">
        <f>ROUND(0.04*254.17,0)*3.53*4</f>
        <v>141.2</v>
      </c>
      <c r="I463" s="23"/>
      <c r="J463" s="23"/>
      <c r="K463" s="38"/>
      <c r="L463" s="38"/>
      <c r="M463" s="38"/>
      <c r="N463" s="38"/>
      <c r="O463" s="38"/>
      <c r="P463" s="38"/>
      <c r="Q463" s="20">
        <f t="shared" si="23"/>
        <v>875.4399999999998</v>
      </c>
    </row>
    <row r="464" spans="1:17" ht="12.75">
      <c r="A464" s="73">
        <f t="shared" si="24"/>
        <v>454</v>
      </c>
      <c r="B464" s="58" t="s">
        <v>616</v>
      </c>
      <c r="C464" s="62"/>
      <c r="D464" s="65">
        <v>0</v>
      </c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43">
        <f t="shared" si="23"/>
        <v>0</v>
      </c>
    </row>
    <row r="465" spans="1:17" ht="12.75">
      <c r="A465" s="73">
        <f t="shared" si="24"/>
        <v>455</v>
      </c>
      <c r="B465" s="53" t="s">
        <v>529</v>
      </c>
      <c r="C465" s="18">
        <v>12700</v>
      </c>
      <c r="D465" s="19" t="s">
        <v>584</v>
      </c>
      <c r="E465" s="23"/>
      <c r="F465" s="23"/>
      <c r="G465" s="21">
        <f>ROUND(0.04*366.33,0)*3.53*4</f>
        <v>211.79999999999998</v>
      </c>
      <c r="H465" s="21">
        <f>ROUND(0.04*254.17,0)*3.53*4</f>
        <v>141.2</v>
      </c>
      <c r="I465" s="23"/>
      <c r="J465" s="23"/>
      <c r="K465" s="38"/>
      <c r="L465" s="23"/>
      <c r="M465" s="23"/>
      <c r="N465" s="23"/>
      <c r="O465" s="23"/>
      <c r="P465" s="23"/>
      <c r="Q465" s="20">
        <f t="shared" si="23"/>
        <v>353</v>
      </c>
    </row>
    <row r="466" spans="1:17" ht="12.75">
      <c r="A466" s="73">
        <f t="shared" si="24"/>
        <v>456</v>
      </c>
      <c r="B466" s="59" t="s">
        <v>530</v>
      </c>
      <c r="C466" s="62">
        <v>12703</v>
      </c>
      <c r="D466" s="65">
        <v>4</v>
      </c>
      <c r="E466" s="66">
        <f>ROUND(0.04*521.42,0)*3.53*4</f>
        <v>296.52</v>
      </c>
      <c r="F466" s="66">
        <f>ROUND(0.04*409.08,0)*3.53*4</f>
        <v>225.92</v>
      </c>
      <c r="G466" s="66">
        <f>ROUND(0.04*366.33,0)*3.53*4</f>
        <v>211.79999999999998</v>
      </c>
      <c r="H466" s="66">
        <f>ROUND(0.04*254.17,0)*3.53*4</f>
        <v>141.2</v>
      </c>
      <c r="I466" s="66"/>
      <c r="J466" s="66"/>
      <c r="K466" s="66"/>
      <c r="L466" s="66"/>
      <c r="M466" s="66"/>
      <c r="N466" s="66"/>
      <c r="O466" s="66"/>
      <c r="P466" s="66"/>
      <c r="Q466" s="43">
        <f t="shared" si="23"/>
        <v>875.4399999999998</v>
      </c>
    </row>
    <row r="467" spans="1:17" ht="12.75">
      <c r="A467" s="73">
        <f t="shared" si="24"/>
        <v>457</v>
      </c>
      <c r="B467" s="53" t="s">
        <v>531</v>
      </c>
      <c r="C467" s="18">
        <v>12704</v>
      </c>
      <c r="D467" s="19">
        <v>4</v>
      </c>
      <c r="E467" s="38">
        <f>ROUND(0.04*521.42,0)*3.53*4</f>
        <v>296.52</v>
      </c>
      <c r="F467" s="38">
        <f>ROUND(0.04*409.08,0)*3.53*4</f>
        <v>225.92</v>
      </c>
      <c r="G467" s="38">
        <f>ROUND(0.04*366.33,0)*3.53*4</f>
        <v>211.79999999999998</v>
      </c>
      <c r="H467" s="38">
        <f>ROUND(0.04*254.17,0)*3.53*4</f>
        <v>141.2</v>
      </c>
      <c r="I467" s="23"/>
      <c r="J467" s="23"/>
      <c r="K467" s="38"/>
      <c r="L467" s="38"/>
      <c r="M467" s="38"/>
      <c r="N467" s="38"/>
      <c r="O467" s="38"/>
      <c r="P467" s="38"/>
      <c r="Q467" s="20">
        <f t="shared" si="23"/>
        <v>875.4399999999998</v>
      </c>
    </row>
    <row r="468" spans="1:231" s="44" customFormat="1" ht="12.75">
      <c r="A468" s="73">
        <f t="shared" si="24"/>
        <v>458</v>
      </c>
      <c r="B468" s="53" t="s">
        <v>532</v>
      </c>
      <c r="C468" s="18">
        <v>12676</v>
      </c>
      <c r="D468" s="19">
        <v>4</v>
      </c>
      <c r="E468" s="38">
        <f>ROUND(0.04*521.42,0)*3.53*4</f>
        <v>296.52</v>
      </c>
      <c r="F468" s="38">
        <f>ROUND(0.04*409.08,0)*3.53*4</f>
        <v>225.92</v>
      </c>
      <c r="G468" s="38">
        <f>ROUND(0.04*366.33,0)*3.53*4</f>
        <v>211.79999999999998</v>
      </c>
      <c r="H468" s="38">
        <f>ROUND(0.04*254.17,0)*3.53*4</f>
        <v>141.2</v>
      </c>
      <c r="I468" s="23"/>
      <c r="J468" s="23"/>
      <c r="K468" s="38"/>
      <c r="L468" s="38"/>
      <c r="M468" s="38"/>
      <c r="N468" s="38"/>
      <c r="O468" s="38"/>
      <c r="P468" s="38"/>
      <c r="Q468" s="20">
        <f t="shared" si="23"/>
        <v>875.4399999999998</v>
      </c>
      <c r="R468" s="34"/>
      <c r="S468" s="34"/>
      <c r="T468" s="34"/>
      <c r="U468" s="34"/>
      <c r="V468" s="34"/>
      <c r="W468" s="34"/>
      <c r="X468" s="34"/>
      <c r="Y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</row>
    <row r="469" spans="1:17" ht="12.75">
      <c r="A469" s="73">
        <f t="shared" si="24"/>
        <v>459</v>
      </c>
      <c r="B469" s="53" t="s">
        <v>533</v>
      </c>
      <c r="C469" s="18">
        <v>12677</v>
      </c>
      <c r="D469" s="19">
        <v>4</v>
      </c>
      <c r="E469" s="38">
        <f>ROUND(0.04*521.42,0)*3.53*4</f>
        <v>296.52</v>
      </c>
      <c r="F469" s="38">
        <f>ROUND(0.04*409.08,0)*3.53*4</f>
        <v>225.92</v>
      </c>
      <c r="G469" s="38">
        <f>ROUND(0.04*366.33,0)*3.53*4</f>
        <v>211.79999999999998</v>
      </c>
      <c r="H469" s="38">
        <f>ROUND(0.04*254.17,0)*3.53*4</f>
        <v>141.2</v>
      </c>
      <c r="I469" s="23"/>
      <c r="J469" s="23"/>
      <c r="K469" s="38"/>
      <c r="L469" s="38"/>
      <c r="M469" s="38"/>
      <c r="N469" s="38"/>
      <c r="O469" s="38"/>
      <c r="P469" s="38"/>
      <c r="Q469" s="20">
        <f t="shared" si="23"/>
        <v>875.4399999999998</v>
      </c>
    </row>
    <row r="470" spans="1:17" ht="12.75">
      <c r="A470" s="73">
        <f t="shared" si="24"/>
        <v>460</v>
      </c>
      <c r="B470" s="53" t="s">
        <v>534</v>
      </c>
      <c r="C470" s="18">
        <v>21861</v>
      </c>
      <c r="D470" s="19" t="s">
        <v>585</v>
      </c>
      <c r="E470" s="23">
        <v>0</v>
      </c>
      <c r="F470" s="23">
        <v>1</v>
      </c>
      <c r="G470" s="23"/>
      <c r="H470" s="23"/>
      <c r="I470" s="23"/>
      <c r="J470" s="23"/>
      <c r="K470" s="38"/>
      <c r="L470" s="23"/>
      <c r="M470" s="23"/>
      <c r="N470" s="23"/>
      <c r="O470" s="23"/>
      <c r="P470" s="23"/>
      <c r="Q470" s="20">
        <f t="shared" si="23"/>
        <v>1</v>
      </c>
    </row>
    <row r="471" spans="1:17" ht="12.75">
      <c r="A471" s="73">
        <f t="shared" si="24"/>
        <v>461</v>
      </c>
      <c r="B471" s="53" t="s">
        <v>535</v>
      </c>
      <c r="C471" s="18">
        <v>21862</v>
      </c>
      <c r="D471" s="19" t="s">
        <v>585</v>
      </c>
      <c r="E471" s="23">
        <v>56.85</v>
      </c>
      <c r="F471" s="23">
        <v>31.27</v>
      </c>
      <c r="G471" s="23"/>
      <c r="H471" s="23"/>
      <c r="I471" s="23"/>
      <c r="J471" s="23"/>
      <c r="K471" s="38"/>
      <c r="L471" s="23"/>
      <c r="M471" s="23"/>
      <c r="N471" s="23"/>
      <c r="O471" s="23"/>
      <c r="P471" s="23"/>
      <c r="Q471" s="20">
        <f t="shared" si="23"/>
        <v>88.12</v>
      </c>
    </row>
    <row r="472" spans="1:17" ht="12.75">
      <c r="A472" s="73">
        <f t="shared" si="24"/>
        <v>462</v>
      </c>
      <c r="B472" s="53" t="s">
        <v>536</v>
      </c>
      <c r="C472" s="18">
        <v>21863</v>
      </c>
      <c r="D472" s="19" t="s">
        <v>585</v>
      </c>
      <c r="E472" s="23">
        <v>282.4</v>
      </c>
      <c r="F472" s="23">
        <v>201.21</v>
      </c>
      <c r="G472" s="23"/>
      <c r="H472" s="23"/>
      <c r="I472" s="23"/>
      <c r="J472" s="23"/>
      <c r="K472" s="38"/>
      <c r="L472" s="23"/>
      <c r="M472" s="23"/>
      <c r="N472" s="23"/>
      <c r="O472" s="23"/>
      <c r="P472" s="23"/>
      <c r="Q472" s="20">
        <f t="shared" si="23"/>
        <v>483.61</v>
      </c>
    </row>
    <row r="473" spans="1:17" ht="12.75">
      <c r="A473" s="73">
        <f t="shared" si="24"/>
        <v>463</v>
      </c>
      <c r="B473" s="53" t="s">
        <v>537</v>
      </c>
      <c r="C473" s="18">
        <v>21865</v>
      </c>
      <c r="D473" s="19" t="s">
        <v>592</v>
      </c>
      <c r="E473" s="38">
        <f>ROUND(0.04*521.42,0)*3.53*2</f>
        <v>148.26</v>
      </c>
      <c r="F473" s="38">
        <f>ROUND(0.04*409.08,0)*3.53*2</f>
        <v>112.96</v>
      </c>
      <c r="G473" s="38">
        <f>ROUND(0.04*366.33,0)*3.53*2</f>
        <v>105.89999999999999</v>
      </c>
      <c r="H473" s="38">
        <f>ROUND(0.04*254.17,0)*3.53*2</f>
        <v>70.6</v>
      </c>
      <c r="I473" s="23"/>
      <c r="J473" s="23"/>
      <c r="K473" s="38"/>
      <c r="L473" s="38"/>
      <c r="M473" s="38"/>
      <c r="N473" s="38"/>
      <c r="O473" s="38"/>
      <c r="P473" s="38"/>
      <c r="Q473" s="20">
        <f t="shared" si="23"/>
        <v>437.7199999999999</v>
      </c>
    </row>
    <row r="474" spans="1:17" ht="12.75">
      <c r="A474" s="73">
        <f t="shared" si="24"/>
        <v>464</v>
      </c>
      <c r="B474" s="53" t="s">
        <v>538</v>
      </c>
      <c r="C474" s="18">
        <v>22176</v>
      </c>
      <c r="D474" s="19">
        <v>3</v>
      </c>
      <c r="E474" s="38">
        <f>ROUND(0.04*521.42,0)*3.53*3</f>
        <v>222.39</v>
      </c>
      <c r="F474" s="38">
        <f>ROUND(0.04*409.08,0)*3.53*3</f>
        <v>169.44</v>
      </c>
      <c r="G474" s="38">
        <f>ROUND(0.04*366.33,0)*3.53*3</f>
        <v>158.85</v>
      </c>
      <c r="H474" s="38">
        <f>ROUND(0.04*254.17,0)*3.53*3</f>
        <v>105.89999999999999</v>
      </c>
      <c r="I474" s="23"/>
      <c r="J474" s="23"/>
      <c r="K474" s="38"/>
      <c r="L474" s="38"/>
      <c r="M474" s="38"/>
      <c r="N474" s="38"/>
      <c r="O474" s="38"/>
      <c r="P474" s="38"/>
      <c r="Q474" s="20">
        <f t="shared" si="23"/>
        <v>656.5799999999999</v>
      </c>
    </row>
    <row r="475" spans="1:17" ht="12.75">
      <c r="A475" s="73">
        <f t="shared" si="24"/>
        <v>465</v>
      </c>
      <c r="B475" s="53" t="s">
        <v>539</v>
      </c>
      <c r="C475" s="18">
        <v>22184</v>
      </c>
      <c r="D475" s="19">
        <v>4</v>
      </c>
      <c r="E475" s="38">
        <f>ROUND(0.04*521.42,0)*3.53*4</f>
        <v>296.52</v>
      </c>
      <c r="F475" s="38">
        <f>ROUND(0.04*409.08,0)*3.53*4</f>
        <v>225.92</v>
      </c>
      <c r="G475" s="38">
        <f>ROUND(0.04*366.33,0)*3.53*4</f>
        <v>211.79999999999998</v>
      </c>
      <c r="H475" s="38">
        <f>ROUND(0.04*254.17,0)*3.53*4</f>
        <v>141.2</v>
      </c>
      <c r="I475" s="23"/>
      <c r="J475" s="23"/>
      <c r="K475" s="38"/>
      <c r="L475" s="38"/>
      <c r="M475" s="38"/>
      <c r="N475" s="38"/>
      <c r="O475" s="38"/>
      <c r="P475" s="38"/>
      <c r="Q475" s="20">
        <f t="shared" si="23"/>
        <v>875.4399999999998</v>
      </c>
    </row>
    <row r="476" spans="1:17" ht="12.75">
      <c r="A476" s="73">
        <f t="shared" si="24"/>
        <v>466</v>
      </c>
      <c r="B476" s="53" t="s">
        <v>540</v>
      </c>
      <c r="C476" s="18">
        <v>22177</v>
      </c>
      <c r="D476" s="19">
        <v>4</v>
      </c>
      <c r="E476" s="38">
        <f>ROUND(0.04*521.42,0)*3.53*4</f>
        <v>296.52</v>
      </c>
      <c r="F476" s="38">
        <f>ROUND(0.04*409.08,0)*3.53*4</f>
        <v>225.92</v>
      </c>
      <c r="G476" s="38">
        <f>ROUND(0.04*366.33,0)*3.53*4</f>
        <v>211.79999999999998</v>
      </c>
      <c r="H476" s="38">
        <f>ROUND(0.04*254.17,0)*3.53*4</f>
        <v>141.2</v>
      </c>
      <c r="I476" s="23"/>
      <c r="J476" s="23"/>
      <c r="K476" s="38"/>
      <c r="L476" s="38"/>
      <c r="M476" s="38"/>
      <c r="N476" s="38"/>
      <c r="O476" s="38"/>
      <c r="P476" s="38"/>
      <c r="Q476" s="20">
        <f t="shared" si="23"/>
        <v>875.4399999999998</v>
      </c>
    </row>
    <row r="477" spans="1:17" ht="12.75">
      <c r="A477" s="73">
        <f t="shared" si="24"/>
        <v>467</v>
      </c>
      <c r="B477" s="53" t="s">
        <v>541</v>
      </c>
      <c r="C477" s="18">
        <v>22186</v>
      </c>
      <c r="D477" s="19">
        <v>3</v>
      </c>
      <c r="E477" s="38">
        <f>ROUND(0.04*521.42,0)*3.53*3</f>
        <v>222.39</v>
      </c>
      <c r="F477" s="38">
        <f>ROUND(0.04*409.08,0)*3.53*3</f>
        <v>169.44</v>
      </c>
      <c r="G477" s="38">
        <f>ROUND(0.04*366.33,0)*3.53*3</f>
        <v>158.85</v>
      </c>
      <c r="H477" s="38">
        <f>ROUND(0.04*254.17,0)*3.53*3</f>
        <v>105.89999999999999</v>
      </c>
      <c r="I477" s="23"/>
      <c r="J477" s="23"/>
      <c r="K477" s="38"/>
      <c r="L477" s="38"/>
      <c r="M477" s="38"/>
      <c r="N477" s="38"/>
      <c r="O477" s="38"/>
      <c r="P477" s="38"/>
      <c r="Q477" s="20">
        <f t="shared" si="23"/>
        <v>656.5799999999999</v>
      </c>
    </row>
    <row r="478" spans="1:17" ht="12.75">
      <c r="A478" s="73">
        <f t="shared" si="24"/>
        <v>468</v>
      </c>
      <c r="B478" s="53" t="s">
        <v>542</v>
      </c>
      <c r="C478" s="18">
        <v>22187</v>
      </c>
      <c r="D478" s="19">
        <v>4</v>
      </c>
      <c r="E478" s="38">
        <f>ROUND(0.04*521.42,0)*3.53*4</f>
        <v>296.52</v>
      </c>
      <c r="F478" s="38">
        <f>ROUND(0.04*409.08,0)*3.53*4</f>
        <v>225.92</v>
      </c>
      <c r="G478" s="38">
        <f>ROUND(0.04*366.33,0)*3.53*4</f>
        <v>211.79999999999998</v>
      </c>
      <c r="H478" s="38">
        <f>ROUND(0.04*254.17,0)*3.53*4</f>
        <v>141.2</v>
      </c>
      <c r="I478" s="23"/>
      <c r="J478" s="23"/>
      <c r="K478" s="38"/>
      <c r="L478" s="38"/>
      <c r="M478" s="38"/>
      <c r="N478" s="38"/>
      <c r="O478" s="38"/>
      <c r="P478" s="38"/>
      <c r="Q478" s="20">
        <f t="shared" si="23"/>
        <v>875.4399999999998</v>
      </c>
    </row>
    <row r="479" spans="1:17" ht="12.75">
      <c r="A479" s="73">
        <f t="shared" si="24"/>
        <v>469</v>
      </c>
      <c r="B479" s="53" t="s">
        <v>543</v>
      </c>
      <c r="C479" s="18">
        <v>22179</v>
      </c>
      <c r="D479" s="19">
        <v>3</v>
      </c>
      <c r="E479" s="38">
        <f>ROUND(0.04*521.42,0)*3.53*3</f>
        <v>222.39</v>
      </c>
      <c r="F479" s="38">
        <f>ROUND(0.04*409.08,0)*3.53*3</f>
        <v>169.44</v>
      </c>
      <c r="G479" s="38">
        <f>ROUND(0.04*366.33,0)*3.53*3</f>
        <v>158.85</v>
      </c>
      <c r="H479" s="38">
        <f>ROUND(0.04*254.17,0)*3.53*3</f>
        <v>105.89999999999999</v>
      </c>
      <c r="I479" s="23"/>
      <c r="J479" s="23"/>
      <c r="K479" s="38"/>
      <c r="L479" s="38"/>
      <c r="M479" s="38"/>
      <c r="N479" s="38"/>
      <c r="O479" s="38"/>
      <c r="P479" s="38"/>
      <c r="Q479" s="20">
        <f t="shared" si="23"/>
        <v>656.5799999999999</v>
      </c>
    </row>
    <row r="480" spans="1:17" ht="12.75">
      <c r="A480" s="73">
        <f t="shared" si="24"/>
        <v>470</v>
      </c>
      <c r="B480" s="53" t="s">
        <v>544</v>
      </c>
      <c r="C480" s="18">
        <v>22180</v>
      </c>
      <c r="D480" s="19">
        <v>3</v>
      </c>
      <c r="E480" s="38">
        <f>ROUND(0.04*521.42,0)*3.53*3</f>
        <v>222.39</v>
      </c>
      <c r="F480" s="38">
        <f>ROUND(0.04*409.08,0)*3.53*3</f>
        <v>169.44</v>
      </c>
      <c r="G480" s="38">
        <f>ROUND(0.04*366.33,0)*3.53*3</f>
        <v>158.85</v>
      </c>
      <c r="H480" s="38">
        <f>ROUND(0.04*254.17,0)*3.53*3</f>
        <v>105.89999999999999</v>
      </c>
      <c r="I480" s="23"/>
      <c r="J480" s="23"/>
      <c r="K480" s="38"/>
      <c r="L480" s="38"/>
      <c r="M480" s="38"/>
      <c r="N480" s="38"/>
      <c r="O480" s="38"/>
      <c r="P480" s="38"/>
      <c r="Q480" s="20">
        <f t="shared" si="23"/>
        <v>656.5799999999999</v>
      </c>
    </row>
    <row r="481" spans="1:17" ht="12.75">
      <c r="A481" s="73">
        <f t="shared" si="24"/>
        <v>471</v>
      </c>
      <c r="B481" s="53" t="s">
        <v>545</v>
      </c>
      <c r="C481" s="18">
        <v>22181</v>
      </c>
      <c r="D481" s="19">
        <v>3</v>
      </c>
      <c r="E481" s="38">
        <f>ROUND(0.04*521.42,0)*3.53*3</f>
        <v>222.39</v>
      </c>
      <c r="F481" s="38">
        <f>ROUND(0.04*409.08,0)*3.53*3</f>
        <v>169.44</v>
      </c>
      <c r="G481" s="38">
        <f>ROUND(0.04*366.33,0)*3.53*3</f>
        <v>158.85</v>
      </c>
      <c r="H481" s="38">
        <f>ROUND(0.04*254.17,0)*3.53*3</f>
        <v>105.89999999999999</v>
      </c>
      <c r="I481" s="23"/>
      <c r="J481" s="23"/>
      <c r="K481" s="38"/>
      <c r="L481" s="38"/>
      <c r="M481" s="38"/>
      <c r="N481" s="38"/>
      <c r="O481" s="38"/>
      <c r="P481" s="38"/>
      <c r="Q481" s="20">
        <f t="shared" si="23"/>
        <v>656.5799999999999</v>
      </c>
    </row>
    <row r="482" spans="1:17" ht="12.75">
      <c r="A482" s="73">
        <f t="shared" si="24"/>
        <v>472</v>
      </c>
      <c r="B482" s="53" t="s">
        <v>546</v>
      </c>
      <c r="C482" s="18">
        <v>22182</v>
      </c>
      <c r="D482" s="19">
        <v>3</v>
      </c>
      <c r="E482" s="38">
        <f>ROUND(0.04*521.42,0)*3.53*3</f>
        <v>222.39</v>
      </c>
      <c r="F482" s="38">
        <f>ROUND(0.04*409.08,0)*3.53*3</f>
        <v>169.44</v>
      </c>
      <c r="G482" s="38">
        <f>ROUND(0.04*366.33,0)*3.53*3</f>
        <v>158.85</v>
      </c>
      <c r="H482" s="38">
        <f>ROUND(0.04*254.17,0)*3.53*3</f>
        <v>105.89999999999999</v>
      </c>
      <c r="I482" s="23"/>
      <c r="J482" s="23"/>
      <c r="K482" s="38"/>
      <c r="L482" s="38"/>
      <c r="M482" s="38"/>
      <c r="N482" s="38"/>
      <c r="O482" s="38"/>
      <c r="P482" s="38"/>
      <c r="Q482" s="20">
        <f t="shared" si="23"/>
        <v>656.5799999999999</v>
      </c>
    </row>
    <row r="483" spans="1:17" ht="12.75">
      <c r="A483" s="73">
        <f t="shared" si="24"/>
        <v>473</v>
      </c>
      <c r="B483" s="53" t="s">
        <v>547</v>
      </c>
      <c r="C483" s="18">
        <v>22183</v>
      </c>
      <c r="D483" s="19">
        <v>3</v>
      </c>
      <c r="E483" s="38">
        <f>ROUND(0.04*521.42,0)*3.53*3</f>
        <v>222.39</v>
      </c>
      <c r="F483" s="38">
        <f>ROUND(0.04*409.08,0)*3.53*3</f>
        <v>169.44</v>
      </c>
      <c r="G483" s="38">
        <f>ROUND(0.04*366.33,0)*3.53*3</f>
        <v>158.85</v>
      </c>
      <c r="H483" s="38">
        <f>ROUND(0.04*254.17,0)*3.53*3</f>
        <v>105.89999999999999</v>
      </c>
      <c r="I483" s="23"/>
      <c r="J483" s="23"/>
      <c r="K483" s="38"/>
      <c r="L483" s="38"/>
      <c r="M483" s="38"/>
      <c r="N483" s="38"/>
      <c r="O483" s="38"/>
      <c r="P483" s="38"/>
      <c r="Q483" s="20">
        <f t="shared" si="23"/>
        <v>656.5799999999999</v>
      </c>
    </row>
    <row r="484" spans="1:17" ht="12.75">
      <c r="A484" s="73">
        <f t="shared" si="24"/>
        <v>474</v>
      </c>
      <c r="B484" s="53" t="s">
        <v>548</v>
      </c>
      <c r="C484" s="18">
        <v>22174</v>
      </c>
      <c r="D484" s="19">
        <v>27</v>
      </c>
      <c r="E484" s="38">
        <f>ROUND(0.04*521.42,0)*3.53*27</f>
        <v>2001.5099999999998</v>
      </c>
      <c r="F484" s="38">
        <f>ROUND(0.04*409.08,0)*3.53*27</f>
        <v>1524.9599999999998</v>
      </c>
      <c r="G484" s="38">
        <f>ROUND(0.04*366.33,0)*3.53*27</f>
        <v>1429.6499999999999</v>
      </c>
      <c r="H484" s="38">
        <f>ROUND(0.04*254.17,0)*3.53*27</f>
        <v>953.0999999999999</v>
      </c>
      <c r="I484" s="23"/>
      <c r="J484" s="23"/>
      <c r="K484" s="38"/>
      <c r="L484" s="38"/>
      <c r="M484" s="38"/>
      <c r="N484" s="38"/>
      <c r="O484" s="38"/>
      <c r="P484" s="38"/>
      <c r="Q484" s="20">
        <f t="shared" si="23"/>
        <v>5909.219999999999</v>
      </c>
    </row>
    <row r="485" spans="1:17" ht="12.75">
      <c r="A485" s="73">
        <f t="shared" si="24"/>
        <v>475</v>
      </c>
      <c r="B485" s="53" t="s">
        <v>549</v>
      </c>
      <c r="C485" s="18">
        <v>22175</v>
      </c>
      <c r="D485" s="19" t="s">
        <v>593</v>
      </c>
      <c r="E485" s="38">
        <f>ROUND(0.04*521.42,0)*3.53*3</f>
        <v>222.39</v>
      </c>
      <c r="F485" s="38">
        <f>ROUND(0.04*409.08,0)*3.53*3</f>
        <v>169.44</v>
      </c>
      <c r="G485" s="38">
        <f>ROUND(0.04*366.33,0)*3.53*3</f>
        <v>158.85</v>
      </c>
      <c r="H485" s="38">
        <f>ROUND(0.04*254.17,0)*3.53*3</f>
        <v>105.89999999999999</v>
      </c>
      <c r="I485" s="23"/>
      <c r="J485" s="23"/>
      <c r="K485" s="38"/>
      <c r="L485" s="38"/>
      <c r="M485" s="38"/>
      <c r="N485" s="38"/>
      <c r="O485" s="38"/>
      <c r="P485" s="38"/>
      <c r="Q485" s="20">
        <f t="shared" si="23"/>
        <v>656.5799999999999</v>
      </c>
    </row>
    <row r="486" spans="1:17" ht="12.75">
      <c r="A486" s="73">
        <f t="shared" si="24"/>
        <v>476</v>
      </c>
      <c r="B486" s="53" t="s">
        <v>550</v>
      </c>
      <c r="C486" s="18">
        <v>12163</v>
      </c>
      <c r="D486" s="19">
        <v>3</v>
      </c>
      <c r="E486" s="38">
        <f>ROUND(0.04*521.42,0)*3.53*3</f>
        <v>222.39</v>
      </c>
      <c r="F486" s="38">
        <f>ROUND(0.04*409.08,0)*3.53*3</f>
        <v>169.44</v>
      </c>
      <c r="G486" s="38">
        <f>ROUND(0.04*366.33,0)*3.53*3</f>
        <v>158.85</v>
      </c>
      <c r="H486" s="38">
        <f>ROUND(0.04*254.17,0)*3.53*3</f>
        <v>105.89999999999999</v>
      </c>
      <c r="I486" s="23"/>
      <c r="J486" s="23"/>
      <c r="K486" s="38"/>
      <c r="L486" s="38"/>
      <c r="M486" s="38"/>
      <c r="N486" s="38"/>
      <c r="O486" s="38"/>
      <c r="P486" s="38"/>
      <c r="Q486" s="20">
        <f t="shared" si="23"/>
        <v>656.5799999999999</v>
      </c>
    </row>
    <row r="487" spans="1:17" ht="12.75">
      <c r="A487" s="73">
        <f t="shared" si="24"/>
        <v>477</v>
      </c>
      <c r="B487" s="58" t="s">
        <v>617</v>
      </c>
      <c r="C487" s="62"/>
      <c r="D487" s="64">
        <v>3</v>
      </c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43">
        <f t="shared" si="23"/>
        <v>0</v>
      </c>
    </row>
    <row r="488" spans="1:17" ht="12.75">
      <c r="A488" s="73">
        <f t="shared" si="24"/>
        <v>478</v>
      </c>
      <c r="B488" s="59" t="s">
        <v>551</v>
      </c>
      <c r="C488" s="62">
        <v>12157</v>
      </c>
      <c r="D488" s="65">
        <v>3</v>
      </c>
      <c r="E488" s="66">
        <f>ROUND(0.04*521.42,0)*3.53*3</f>
        <v>222.39</v>
      </c>
      <c r="F488" s="66">
        <f>ROUND(0.04*409.08,0)*3.53*3</f>
        <v>169.44</v>
      </c>
      <c r="G488" s="66">
        <f>ROUND(0.04*366.33,0)*3.53*3</f>
        <v>158.85</v>
      </c>
      <c r="H488" s="66">
        <f>ROUND(0.04*254.17,0)*3.53*3</f>
        <v>105.89999999999999</v>
      </c>
      <c r="I488" s="66"/>
      <c r="J488" s="66"/>
      <c r="K488" s="66"/>
      <c r="L488" s="66"/>
      <c r="M488" s="66"/>
      <c r="N488" s="66"/>
      <c r="O488" s="66"/>
      <c r="P488" s="66"/>
      <c r="Q488" s="43">
        <f t="shared" si="23"/>
        <v>656.5799999999999</v>
      </c>
    </row>
    <row r="489" spans="1:17" ht="12.75">
      <c r="A489" s="73">
        <f t="shared" si="24"/>
        <v>479</v>
      </c>
      <c r="B489" s="53" t="s">
        <v>552</v>
      </c>
      <c r="C489" s="18">
        <v>21799</v>
      </c>
      <c r="D489" s="19">
        <v>1</v>
      </c>
      <c r="E489" s="38">
        <f>ROUND(0.04*521.42,0)*3.53</f>
        <v>74.13</v>
      </c>
      <c r="F489" s="38">
        <f>ROUND(0.04*409.08,0)*3.53</f>
        <v>56.48</v>
      </c>
      <c r="G489" s="38">
        <f>ROUND(0.04*366.33,0)*3.53</f>
        <v>52.949999999999996</v>
      </c>
      <c r="H489" s="38">
        <f>ROUND(0.04*254.17,0)*3.53</f>
        <v>35.3</v>
      </c>
      <c r="I489" s="23"/>
      <c r="J489" s="23"/>
      <c r="K489" s="38"/>
      <c r="L489" s="38"/>
      <c r="M489" s="38"/>
      <c r="N489" s="38"/>
      <c r="O489" s="38"/>
      <c r="P489" s="38"/>
      <c r="Q489" s="20">
        <f t="shared" si="23"/>
        <v>218.85999999999996</v>
      </c>
    </row>
    <row r="490" spans="1:18" ht="12.75">
      <c r="A490" s="73">
        <f t="shared" si="24"/>
        <v>480</v>
      </c>
      <c r="B490" s="92" t="s">
        <v>553</v>
      </c>
      <c r="C490" s="93">
        <v>21807</v>
      </c>
      <c r="D490" s="94">
        <v>1</v>
      </c>
      <c r="E490" s="38">
        <f>ROUND(0.04*521.42,0)*3.53</f>
        <v>74.13</v>
      </c>
      <c r="F490" s="38">
        <f>ROUND(0.04*409.08,0)*3.53</f>
        <v>56.48</v>
      </c>
      <c r="G490" s="38">
        <f>ROUND(0.04*366.33,0)*3.53</f>
        <v>52.949999999999996</v>
      </c>
      <c r="H490" s="38">
        <f>ROUND(0.04*254.17,0)*3.53</f>
        <v>35.3</v>
      </c>
      <c r="I490" s="38"/>
      <c r="J490" s="38"/>
      <c r="K490" s="38"/>
      <c r="L490" s="38"/>
      <c r="M490" s="38"/>
      <c r="N490" s="38"/>
      <c r="O490" s="38"/>
      <c r="P490" s="38"/>
      <c r="Q490" s="22">
        <f t="shared" si="23"/>
        <v>218.85999999999996</v>
      </c>
      <c r="R490" s="34" t="s">
        <v>731</v>
      </c>
    </row>
    <row r="491" spans="1:17" ht="12.75">
      <c r="A491" s="73">
        <f t="shared" si="24"/>
        <v>481</v>
      </c>
      <c r="B491" s="59" t="s">
        <v>554</v>
      </c>
      <c r="C491" s="62">
        <v>21809</v>
      </c>
      <c r="D491" s="65">
        <v>6</v>
      </c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43">
        <f t="shared" si="23"/>
        <v>0</v>
      </c>
    </row>
    <row r="492" spans="1:17" ht="12.75">
      <c r="A492" s="73">
        <f t="shared" si="24"/>
        <v>482</v>
      </c>
      <c r="B492" s="53" t="s">
        <v>555</v>
      </c>
      <c r="C492" s="18">
        <v>22161</v>
      </c>
      <c r="D492" s="19" t="s">
        <v>584</v>
      </c>
      <c r="E492" s="23"/>
      <c r="F492" s="23"/>
      <c r="G492" s="23"/>
      <c r="H492" s="23"/>
      <c r="I492" s="23"/>
      <c r="J492" s="23"/>
      <c r="K492" s="38"/>
      <c r="L492" s="23"/>
      <c r="M492" s="23"/>
      <c r="N492" s="23"/>
      <c r="O492" s="23"/>
      <c r="P492" s="23"/>
      <c r="Q492" s="20">
        <f t="shared" si="23"/>
        <v>0</v>
      </c>
    </row>
    <row r="493" spans="1:17" ht="12.75">
      <c r="A493" s="73">
        <f t="shared" si="24"/>
        <v>483</v>
      </c>
      <c r="B493" s="9" t="s">
        <v>556</v>
      </c>
      <c r="C493" s="9">
        <v>22164</v>
      </c>
      <c r="D493" s="17">
        <v>4</v>
      </c>
      <c r="E493" s="22">
        <f>ROUND(0.04*521.42,0)*3.53*4</f>
        <v>296.52</v>
      </c>
      <c r="F493" s="22">
        <f>ROUND(0.04*409.08,0)*3.53*4</f>
        <v>225.92</v>
      </c>
      <c r="G493" s="22">
        <f>ROUND(0.04*366.33,0)*3.53*4</f>
        <v>211.79999999999998</v>
      </c>
      <c r="H493" s="22">
        <f>ROUND(0.04*254.17,0)*3.53*4</f>
        <v>141.2</v>
      </c>
      <c r="I493" s="20"/>
      <c r="J493" s="20"/>
      <c r="K493" s="22"/>
      <c r="L493" s="22"/>
      <c r="M493" s="22"/>
      <c r="N493" s="22"/>
      <c r="O493" s="22"/>
      <c r="P493" s="22"/>
      <c r="Q493" s="20">
        <f t="shared" si="23"/>
        <v>875.4399999999998</v>
      </c>
    </row>
    <row r="494" spans="1:17" ht="12.75">
      <c r="A494" s="73">
        <f t="shared" si="24"/>
        <v>484</v>
      </c>
      <c r="B494" s="53" t="s">
        <v>557</v>
      </c>
      <c r="C494" s="18">
        <v>10001</v>
      </c>
      <c r="D494" s="19">
        <v>3</v>
      </c>
      <c r="E494" s="22">
        <f>ROUND(0.04*521.42,0)*3.53*3</f>
        <v>222.39</v>
      </c>
      <c r="F494" s="22">
        <f>ROUND(0.04*409.08,0)*3.53*3</f>
        <v>169.44</v>
      </c>
      <c r="G494" s="22">
        <f>ROUND(0.04*366.33,0)*3.53*3</f>
        <v>158.85</v>
      </c>
      <c r="H494" s="22">
        <f>ROUND(0.04*254.17,0)*3.53*3</f>
        <v>105.89999999999999</v>
      </c>
      <c r="I494" s="23"/>
      <c r="J494" s="23"/>
      <c r="K494" s="38"/>
      <c r="L494" s="23"/>
      <c r="M494" s="23"/>
      <c r="N494" s="23"/>
      <c r="O494" s="23"/>
      <c r="P494" s="23"/>
      <c r="Q494" s="20">
        <f t="shared" si="23"/>
        <v>656.5799999999999</v>
      </c>
    </row>
    <row r="495" spans="1:17" ht="12.75">
      <c r="A495" s="73">
        <f t="shared" si="24"/>
        <v>485</v>
      </c>
      <c r="B495" s="53" t="s">
        <v>558</v>
      </c>
      <c r="C495" s="18">
        <v>10002</v>
      </c>
      <c r="D495" s="19">
        <v>3</v>
      </c>
      <c r="E495" s="22">
        <f>ROUND(0.04*521.42,0)*3.53*3</f>
        <v>222.39</v>
      </c>
      <c r="F495" s="22">
        <f>ROUND(0.04*409.08,0)*3.53*3</f>
        <v>169.44</v>
      </c>
      <c r="G495" s="22">
        <f>ROUND(0.04*366.33,0)*3.53*3</f>
        <v>158.85</v>
      </c>
      <c r="H495" s="22">
        <f>ROUND(0.04*254.17,0)*3.53*3</f>
        <v>105.89999999999999</v>
      </c>
      <c r="I495" s="23"/>
      <c r="J495" s="23"/>
      <c r="K495" s="38"/>
      <c r="L495" s="23"/>
      <c r="M495" s="23"/>
      <c r="N495" s="23"/>
      <c r="O495" s="23"/>
      <c r="P495" s="23"/>
      <c r="Q495" s="20">
        <f t="shared" si="23"/>
        <v>656.5799999999999</v>
      </c>
    </row>
    <row r="496" spans="1:17" ht="12.75">
      <c r="A496" s="73">
        <f t="shared" si="24"/>
        <v>486</v>
      </c>
      <c r="B496" s="53" t="s">
        <v>559</v>
      </c>
      <c r="C496" s="18">
        <v>10003</v>
      </c>
      <c r="D496" s="19">
        <v>3</v>
      </c>
      <c r="E496" s="22">
        <f>ROUND(0.04*521.42,0)*3.53*3</f>
        <v>222.39</v>
      </c>
      <c r="F496" s="22">
        <f>ROUND(0.04*409.08,0)*3.53*3</f>
        <v>169.44</v>
      </c>
      <c r="G496" s="22">
        <f>ROUND(0.04*366.33,0)*3.53*3</f>
        <v>158.85</v>
      </c>
      <c r="H496" s="22">
        <f>ROUND(0.04*254.17,0)*3.53*3</f>
        <v>105.89999999999999</v>
      </c>
      <c r="I496" s="23"/>
      <c r="J496" s="23"/>
      <c r="K496" s="38"/>
      <c r="L496" s="23"/>
      <c r="M496" s="23"/>
      <c r="N496" s="23"/>
      <c r="O496" s="23"/>
      <c r="P496" s="23"/>
      <c r="Q496" s="20">
        <f t="shared" si="23"/>
        <v>656.5799999999999</v>
      </c>
    </row>
    <row r="497" spans="1:17" ht="12.75">
      <c r="A497" s="73">
        <f t="shared" si="24"/>
        <v>487</v>
      </c>
      <c r="B497" s="53" t="s">
        <v>560</v>
      </c>
      <c r="C497" s="18">
        <v>10004</v>
      </c>
      <c r="D497" s="19">
        <v>3</v>
      </c>
      <c r="E497" s="22">
        <f>ROUND(0.04*521.42,0)*3.53*3</f>
        <v>222.39</v>
      </c>
      <c r="F497" s="22">
        <f>ROUND(0.04*409.08,0)*3.53*3</f>
        <v>169.44</v>
      </c>
      <c r="G497" s="22">
        <f>ROUND(0.04*366.33,0)*3.53*3</f>
        <v>158.85</v>
      </c>
      <c r="H497" s="22">
        <f>ROUND(0.04*254.17,0)*3.53*3</f>
        <v>105.89999999999999</v>
      </c>
      <c r="I497" s="23"/>
      <c r="J497" s="23"/>
      <c r="K497" s="38"/>
      <c r="L497" s="23"/>
      <c r="M497" s="23"/>
      <c r="N497" s="23"/>
      <c r="O497" s="23"/>
      <c r="P497" s="23"/>
      <c r="Q497" s="20">
        <f t="shared" si="23"/>
        <v>656.5799999999999</v>
      </c>
    </row>
    <row r="498" spans="1:17" ht="12.75">
      <c r="A498" s="74">
        <f>A497+1</f>
        <v>488</v>
      </c>
      <c r="B498" s="78" t="s">
        <v>631</v>
      </c>
      <c r="C498" s="9">
        <v>10021</v>
      </c>
      <c r="D498" s="17"/>
      <c r="E498" s="20">
        <v>4764.1</v>
      </c>
      <c r="F498" s="20">
        <v>4525.57</v>
      </c>
      <c r="G498" s="20"/>
      <c r="H498" s="20"/>
      <c r="I498" s="20"/>
      <c r="J498" s="20"/>
      <c r="K498" s="22"/>
      <c r="L498" s="20"/>
      <c r="M498" s="20"/>
      <c r="N498" s="20"/>
      <c r="O498" s="20"/>
      <c r="P498" s="20"/>
      <c r="Q498" s="20">
        <f t="shared" si="23"/>
        <v>9289.67</v>
      </c>
    </row>
    <row r="499" spans="1:17" ht="12.75">
      <c r="A499" s="74">
        <f>A498+1</f>
        <v>489</v>
      </c>
      <c r="B499" s="12" t="s">
        <v>632</v>
      </c>
      <c r="C499" s="9">
        <v>10022</v>
      </c>
      <c r="D499" s="17" t="s">
        <v>583</v>
      </c>
      <c r="E499" s="20">
        <v>11889.11</v>
      </c>
      <c r="F499" s="20">
        <v>11805.95</v>
      </c>
      <c r="G499" s="20"/>
      <c r="H499" s="20"/>
      <c r="I499" s="20"/>
      <c r="J499" s="20"/>
      <c r="K499" s="22"/>
      <c r="L499" s="20"/>
      <c r="M499" s="20"/>
      <c r="N499" s="20"/>
      <c r="O499" s="20"/>
      <c r="P499" s="20"/>
      <c r="Q499" s="20">
        <f t="shared" si="23"/>
        <v>23695.06</v>
      </c>
    </row>
    <row r="500" spans="1:17" ht="12.75">
      <c r="A500" s="74">
        <f>A499+1</f>
        <v>490</v>
      </c>
      <c r="B500" s="9" t="s">
        <v>629</v>
      </c>
      <c r="C500" s="9">
        <v>10023</v>
      </c>
      <c r="D500" s="17"/>
      <c r="E500" s="20">
        <v>1825.46</v>
      </c>
      <c r="F500" s="20">
        <v>1591.29</v>
      </c>
      <c r="G500" s="20"/>
      <c r="H500" s="20"/>
      <c r="I500" s="20"/>
      <c r="J500" s="20"/>
      <c r="K500" s="22"/>
      <c r="L500" s="20"/>
      <c r="M500" s="20"/>
      <c r="N500" s="20"/>
      <c r="O500" s="20"/>
      <c r="P500" s="20"/>
      <c r="Q500" s="20">
        <f t="shared" si="23"/>
        <v>3416.75</v>
      </c>
    </row>
    <row r="501" spans="1:18" ht="12.75">
      <c r="A501" s="74">
        <f>A500+1</f>
        <v>491</v>
      </c>
      <c r="B501" s="57" t="s">
        <v>633</v>
      </c>
      <c r="C501" s="12">
        <v>21612</v>
      </c>
      <c r="D501" s="17" t="s">
        <v>717</v>
      </c>
      <c r="E501" s="20"/>
      <c r="F501" s="20"/>
      <c r="G501" s="20"/>
      <c r="H501" s="20"/>
      <c r="I501" s="20"/>
      <c r="J501" s="20"/>
      <c r="K501" s="22"/>
      <c r="L501" s="20"/>
      <c r="M501" s="20"/>
      <c r="N501" s="20"/>
      <c r="O501" s="20"/>
      <c r="P501" s="20"/>
      <c r="Q501" s="20">
        <f aca="true" t="shared" si="25" ref="Q501:Q564">E501+F501+G501+H501+I501+J501+K501+L501+M501+N501+O501+P501</f>
        <v>0</v>
      </c>
      <c r="R501" s="34" t="s">
        <v>723</v>
      </c>
    </row>
    <row r="502" spans="1:17" ht="12.75">
      <c r="A502" s="73">
        <f aca="true" t="shared" si="26" ref="A502:A565">A501+1</f>
        <v>492</v>
      </c>
      <c r="B502" s="57" t="s">
        <v>634</v>
      </c>
      <c r="C502" s="9">
        <v>21837</v>
      </c>
      <c r="D502" s="17">
        <v>0</v>
      </c>
      <c r="E502" s="20">
        <v>0</v>
      </c>
      <c r="F502" s="20">
        <v>0</v>
      </c>
      <c r="G502" s="20">
        <v>0</v>
      </c>
      <c r="H502" s="20">
        <v>0</v>
      </c>
      <c r="I502" s="20"/>
      <c r="J502" s="20"/>
      <c r="K502" s="22"/>
      <c r="L502" s="20"/>
      <c r="M502" s="20"/>
      <c r="N502" s="20"/>
      <c r="O502" s="20"/>
      <c r="P502" s="20"/>
      <c r="Q502" s="20">
        <f t="shared" si="25"/>
        <v>0</v>
      </c>
    </row>
    <row r="503" spans="1:18" ht="12.75">
      <c r="A503" s="73">
        <f t="shared" si="26"/>
        <v>493</v>
      </c>
      <c r="B503" s="57" t="s">
        <v>635</v>
      </c>
      <c r="C503" s="12">
        <v>21821</v>
      </c>
      <c r="D503" s="17" t="s">
        <v>717</v>
      </c>
      <c r="E503" s="20">
        <v>0</v>
      </c>
      <c r="F503" s="20">
        <v>0</v>
      </c>
      <c r="G503" s="20">
        <v>0</v>
      </c>
      <c r="H503" s="20">
        <v>0</v>
      </c>
      <c r="I503" s="20"/>
      <c r="J503" s="20"/>
      <c r="K503" s="22"/>
      <c r="L503" s="20"/>
      <c r="M503" s="20"/>
      <c r="N503" s="20"/>
      <c r="O503" s="20"/>
      <c r="P503" s="66"/>
      <c r="Q503" s="20">
        <f t="shared" si="25"/>
        <v>0</v>
      </c>
      <c r="R503" s="34" t="s">
        <v>723</v>
      </c>
    </row>
    <row r="504" spans="1:18" ht="12.75">
      <c r="A504" s="73">
        <f t="shared" si="26"/>
        <v>494</v>
      </c>
      <c r="B504" s="57" t="s">
        <v>636</v>
      </c>
      <c r="C504" s="12">
        <v>21872</v>
      </c>
      <c r="D504" s="17" t="s">
        <v>717</v>
      </c>
      <c r="E504" s="20">
        <v>0</v>
      </c>
      <c r="F504" s="20">
        <v>0</v>
      </c>
      <c r="G504" s="20">
        <v>0</v>
      </c>
      <c r="H504" s="20">
        <v>0</v>
      </c>
      <c r="I504" s="20"/>
      <c r="J504" s="20"/>
      <c r="K504" s="22"/>
      <c r="L504" s="20"/>
      <c r="M504" s="20"/>
      <c r="N504" s="20"/>
      <c r="O504" s="20"/>
      <c r="P504" s="66"/>
      <c r="Q504" s="20">
        <f t="shared" si="25"/>
        <v>0</v>
      </c>
      <c r="R504" s="34" t="s">
        <v>723</v>
      </c>
    </row>
    <row r="505" spans="1:18" ht="12.75">
      <c r="A505" s="73">
        <f t="shared" si="26"/>
        <v>495</v>
      </c>
      <c r="B505" s="57" t="s">
        <v>637</v>
      </c>
      <c r="C505" s="12">
        <v>23641</v>
      </c>
      <c r="D505" s="17" t="s">
        <v>717</v>
      </c>
      <c r="E505" s="20">
        <v>0</v>
      </c>
      <c r="F505" s="20">
        <v>0</v>
      </c>
      <c r="G505" s="20">
        <v>0</v>
      </c>
      <c r="H505" s="20">
        <v>0</v>
      </c>
      <c r="I505" s="20"/>
      <c r="J505" s="20"/>
      <c r="K505" s="22"/>
      <c r="L505" s="20"/>
      <c r="M505" s="20"/>
      <c r="N505" s="20"/>
      <c r="O505" s="20"/>
      <c r="P505" s="20"/>
      <c r="Q505" s="20">
        <f t="shared" si="25"/>
        <v>0</v>
      </c>
      <c r="R505" s="34" t="s">
        <v>723</v>
      </c>
    </row>
    <row r="506" spans="1:18" ht="12.75">
      <c r="A506" s="73">
        <f t="shared" si="26"/>
        <v>496</v>
      </c>
      <c r="B506" s="57" t="s">
        <v>638</v>
      </c>
      <c r="C506" s="12">
        <v>21305</v>
      </c>
      <c r="D506" s="17" t="s">
        <v>717</v>
      </c>
      <c r="E506" s="20"/>
      <c r="F506" s="20"/>
      <c r="G506" s="20"/>
      <c r="H506" s="20"/>
      <c r="I506" s="20"/>
      <c r="J506" s="20"/>
      <c r="K506" s="22"/>
      <c r="L506" s="20"/>
      <c r="M506" s="20"/>
      <c r="N506" s="20"/>
      <c r="O506" s="20"/>
      <c r="P506" s="20"/>
      <c r="Q506" s="20">
        <f t="shared" si="25"/>
        <v>0</v>
      </c>
      <c r="R506" s="34" t="s">
        <v>723</v>
      </c>
    </row>
    <row r="507" spans="1:231" s="44" customFormat="1" ht="12.75">
      <c r="A507" s="73">
        <f t="shared" si="26"/>
        <v>497</v>
      </c>
      <c r="B507" s="57" t="s">
        <v>639</v>
      </c>
      <c r="C507" s="9">
        <v>22194</v>
      </c>
      <c r="D507" s="17" t="s">
        <v>717</v>
      </c>
      <c r="E507" s="20"/>
      <c r="F507" s="20"/>
      <c r="G507" s="20"/>
      <c r="H507" s="20"/>
      <c r="I507" s="20"/>
      <c r="J507" s="20"/>
      <c r="K507" s="22"/>
      <c r="L507" s="20"/>
      <c r="M507" s="20"/>
      <c r="N507" s="20"/>
      <c r="O507" s="20"/>
      <c r="P507" s="20"/>
      <c r="Q507" s="20">
        <f t="shared" si="25"/>
        <v>0</v>
      </c>
      <c r="R507" s="34" t="s">
        <v>716</v>
      </c>
      <c r="S507" s="34"/>
      <c r="T507" s="34"/>
      <c r="U507" s="34"/>
      <c r="V507" s="34"/>
      <c r="W507" s="34"/>
      <c r="X507" s="34"/>
      <c r="Y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</row>
    <row r="508" spans="1:18" ht="12.75">
      <c r="A508" s="73">
        <f t="shared" si="26"/>
        <v>498</v>
      </c>
      <c r="B508" s="57" t="s">
        <v>640</v>
      </c>
      <c r="C508" s="12">
        <v>22156</v>
      </c>
      <c r="D508" s="17" t="s">
        <v>717</v>
      </c>
      <c r="E508" s="20"/>
      <c r="F508" s="20"/>
      <c r="G508" s="20"/>
      <c r="H508" s="20"/>
      <c r="I508" s="20"/>
      <c r="J508" s="20"/>
      <c r="K508" s="22"/>
      <c r="L508" s="20"/>
      <c r="M508" s="20"/>
      <c r="N508" s="20"/>
      <c r="O508" s="20"/>
      <c r="P508" s="20"/>
      <c r="Q508" s="20">
        <f t="shared" si="25"/>
        <v>0</v>
      </c>
      <c r="R508" s="34" t="s">
        <v>716</v>
      </c>
    </row>
    <row r="509" spans="1:231" s="44" customFormat="1" ht="12.75">
      <c r="A509" s="73">
        <f t="shared" si="26"/>
        <v>499</v>
      </c>
      <c r="B509" s="57" t="s">
        <v>641</v>
      </c>
      <c r="C509" s="9">
        <v>22166</v>
      </c>
      <c r="D509" s="17" t="s">
        <v>717</v>
      </c>
      <c r="E509" s="20"/>
      <c r="F509" s="20"/>
      <c r="G509" s="20"/>
      <c r="H509" s="20"/>
      <c r="I509" s="20"/>
      <c r="J509" s="20"/>
      <c r="K509" s="22"/>
      <c r="L509" s="20"/>
      <c r="M509" s="20"/>
      <c r="N509" s="20"/>
      <c r="O509" s="20"/>
      <c r="P509" s="20"/>
      <c r="Q509" s="20">
        <f t="shared" si="25"/>
        <v>0</v>
      </c>
      <c r="R509" s="34" t="s">
        <v>716</v>
      </c>
      <c r="S509" s="34"/>
      <c r="T509" s="34"/>
      <c r="U509" s="34"/>
      <c r="V509" s="34"/>
      <c r="W509" s="34"/>
      <c r="X509" s="34"/>
      <c r="Y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</row>
    <row r="510" spans="1:18" ht="12.75">
      <c r="A510" s="73">
        <f t="shared" si="26"/>
        <v>500</v>
      </c>
      <c r="B510" s="57" t="s">
        <v>642</v>
      </c>
      <c r="C510" s="12">
        <v>22154</v>
      </c>
      <c r="D510" s="17" t="s">
        <v>717</v>
      </c>
      <c r="E510" s="20"/>
      <c r="F510" s="20"/>
      <c r="G510" s="20"/>
      <c r="H510" s="20"/>
      <c r="I510" s="20"/>
      <c r="J510" s="20"/>
      <c r="K510" s="22"/>
      <c r="L510" s="20"/>
      <c r="M510" s="20"/>
      <c r="N510" s="20"/>
      <c r="O510" s="20"/>
      <c r="P510" s="20"/>
      <c r="Q510" s="20">
        <f t="shared" si="25"/>
        <v>0</v>
      </c>
      <c r="R510" s="34" t="s">
        <v>716</v>
      </c>
    </row>
    <row r="511" spans="1:17" ht="12.75">
      <c r="A511" s="73">
        <f t="shared" si="26"/>
        <v>501</v>
      </c>
      <c r="B511" s="57" t="s">
        <v>643</v>
      </c>
      <c r="C511" s="12">
        <v>21841</v>
      </c>
      <c r="D511" s="17">
        <v>0</v>
      </c>
      <c r="E511" s="20">
        <v>0</v>
      </c>
      <c r="F511" s="20">
        <v>0</v>
      </c>
      <c r="G511" s="20">
        <v>0</v>
      </c>
      <c r="H511" s="20">
        <v>0</v>
      </c>
      <c r="I511" s="20"/>
      <c r="J511" s="20"/>
      <c r="K511" s="22"/>
      <c r="L511" s="20"/>
      <c r="M511" s="20"/>
      <c r="N511" s="20"/>
      <c r="O511" s="20"/>
      <c r="P511" s="20"/>
      <c r="Q511" s="20">
        <f t="shared" si="25"/>
        <v>0</v>
      </c>
    </row>
    <row r="512" spans="1:18" ht="12.75">
      <c r="A512" s="73">
        <f t="shared" si="26"/>
        <v>502</v>
      </c>
      <c r="B512" s="57" t="s">
        <v>644</v>
      </c>
      <c r="C512" s="12">
        <v>21632</v>
      </c>
      <c r="D512" s="17" t="s">
        <v>717</v>
      </c>
      <c r="E512" s="20">
        <v>0</v>
      </c>
      <c r="F512" s="20">
        <v>0</v>
      </c>
      <c r="G512" s="20">
        <v>0</v>
      </c>
      <c r="H512" s="20">
        <v>0</v>
      </c>
      <c r="I512" s="20"/>
      <c r="J512" s="20"/>
      <c r="K512" s="22"/>
      <c r="L512" s="20"/>
      <c r="M512" s="20"/>
      <c r="N512" s="20"/>
      <c r="O512" s="20"/>
      <c r="P512" s="20"/>
      <c r="Q512" s="20">
        <f t="shared" si="25"/>
        <v>0</v>
      </c>
      <c r="R512" s="34" t="s">
        <v>723</v>
      </c>
    </row>
    <row r="513" spans="1:18" ht="12.75">
      <c r="A513" s="73">
        <f t="shared" si="26"/>
        <v>503</v>
      </c>
      <c r="B513" s="57" t="s">
        <v>645</v>
      </c>
      <c r="C513" s="12">
        <v>10021</v>
      </c>
      <c r="D513" s="17" t="s">
        <v>717</v>
      </c>
      <c r="E513" s="66"/>
      <c r="F513" s="66"/>
      <c r="G513" s="66"/>
      <c r="H513" s="66"/>
      <c r="I513" s="20"/>
      <c r="J513" s="20"/>
      <c r="K513" s="22"/>
      <c r="L513" s="20"/>
      <c r="M513" s="20"/>
      <c r="N513" s="20"/>
      <c r="O513" s="20"/>
      <c r="P513" s="66"/>
      <c r="Q513" s="20">
        <f t="shared" si="25"/>
        <v>0</v>
      </c>
      <c r="R513" s="34" t="s">
        <v>722</v>
      </c>
    </row>
    <row r="514" spans="1:17" ht="12.75">
      <c r="A514" s="73">
        <f t="shared" si="26"/>
        <v>504</v>
      </c>
      <c r="B514" s="57" t="s">
        <v>646</v>
      </c>
      <c r="C514" s="9">
        <v>21311</v>
      </c>
      <c r="D514" s="17"/>
      <c r="E514" s="20"/>
      <c r="F514" s="20"/>
      <c r="G514" s="20"/>
      <c r="H514" s="20"/>
      <c r="I514" s="20"/>
      <c r="J514" s="20"/>
      <c r="K514" s="22"/>
      <c r="L514" s="20"/>
      <c r="M514" s="20"/>
      <c r="N514" s="20"/>
      <c r="O514" s="20"/>
      <c r="P514" s="20"/>
      <c r="Q514" s="20">
        <f t="shared" si="25"/>
        <v>0</v>
      </c>
    </row>
    <row r="515" spans="1:18" ht="12.75">
      <c r="A515" s="73">
        <f t="shared" si="26"/>
        <v>505</v>
      </c>
      <c r="B515" s="57" t="s">
        <v>647</v>
      </c>
      <c r="C515" s="12">
        <v>21161</v>
      </c>
      <c r="D515" s="17" t="s">
        <v>717</v>
      </c>
      <c r="E515" s="20"/>
      <c r="F515" s="20"/>
      <c r="G515" s="20"/>
      <c r="H515" s="20"/>
      <c r="I515" s="20"/>
      <c r="J515" s="20"/>
      <c r="K515" s="22"/>
      <c r="L515" s="20"/>
      <c r="M515" s="20"/>
      <c r="N515" s="20"/>
      <c r="O515" s="20"/>
      <c r="P515" s="20"/>
      <c r="Q515" s="20">
        <f t="shared" si="25"/>
        <v>0</v>
      </c>
      <c r="R515" s="34" t="s">
        <v>723</v>
      </c>
    </row>
    <row r="516" spans="1:17" ht="12.75">
      <c r="A516" s="73">
        <f t="shared" si="26"/>
        <v>506</v>
      </c>
      <c r="B516" s="57" t="s">
        <v>648</v>
      </c>
      <c r="C516" s="12">
        <v>21848</v>
      </c>
      <c r="D516" s="17"/>
      <c r="E516" s="20"/>
      <c r="F516" s="20"/>
      <c r="G516" s="20"/>
      <c r="H516" s="20"/>
      <c r="I516" s="20"/>
      <c r="J516" s="20"/>
      <c r="K516" s="22"/>
      <c r="L516" s="20"/>
      <c r="M516" s="20"/>
      <c r="N516" s="20"/>
      <c r="O516" s="20"/>
      <c r="P516" s="20"/>
      <c r="Q516" s="20">
        <f t="shared" si="25"/>
        <v>0</v>
      </c>
    </row>
    <row r="517" spans="1:17" ht="12.75">
      <c r="A517" s="73">
        <f t="shared" si="26"/>
        <v>507</v>
      </c>
      <c r="B517" s="57" t="s">
        <v>649</v>
      </c>
      <c r="C517" s="12">
        <v>21850</v>
      </c>
      <c r="D517" s="17"/>
      <c r="E517" s="20"/>
      <c r="F517" s="20"/>
      <c r="G517" s="20"/>
      <c r="H517" s="20"/>
      <c r="I517" s="20"/>
      <c r="J517" s="20"/>
      <c r="K517" s="22"/>
      <c r="L517" s="20"/>
      <c r="M517" s="20"/>
      <c r="N517" s="20"/>
      <c r="O517" s="20"/>
      <c r="P517" s="20"/>
      <c r="Q517" s="20">
        <f t="shared" si="25"/>
        <v>0</v>
      </c>
    </row>
    <row r="518" spans="1:18" ht="12.75">
      <c r="A518" s="73">
        <f t="shared" si="26"/>
        <v>508</v>
      </c>
      <c r="B518" s="57" t="s">
        <v>650</v>
      </c>
      <c r="C518" s="12">
        <v>23637</v>
      </c>
      <c r="D518" s="17" t="s">
        <v>717</v>
      </c>
      <c r="E518" s="20"/>
      <c r="F518" s="20"/>
      <c r="G518" s="20"/>
      <c r="H518" s="20"/>
      <c r="I518" s="20"/>
      <c r="J518" s="20"/>
      <c r="K518" s="22"/>
      <c r="L518" s="20"/>
      <c r="M518" s="20"/>
      <c r="N518" s="20"/>
      <c r="O518" s="20"/>
      <c r="P518" s="66"/>
      <c r="Q518" s="20">
        <f t="shared" si="25"/>
        <v>0</v>
      </c>
      <c r="R518" s="34" t="s">
        <v>723</v>
      </c>
    </row>
    <row r="519" spans="1:18" ht="12.75">
      <c r="A519" s="73">
        <f t="shared" si="26"/>
        <v>509</v>
      </c>
      <c r="B519" s="57" t="s">
        <v>651</v>
      </c>
      <c r="C519" s="9">
        <v>22139</v>
      </c>
      <c r="D519" s="17" t="s">
        <v>717</v>
      </c>
      <c r="E519" s="20"/>
      <c r="F519" s="20"/>
      <c r="G519" s="20"/>
      <c r="H519" s="20"/>
      <c r="I519" s="20"/>
      <c r="J519" s="20"/>
      <c r="K519" s="22"/>
      <c r="L519" s="20"/>
      <c r="M519" s="20"/>
      <c r="N519" s="20"/>
      <c r="O519" s="20"/>
      <c r="P519" s="20"/>
      <c r="Q519" s="20">
        <f t="shared" si="25"/>
        <v>0</v>
      </c>
      <c r="R519" s="34" t="s">
        <v>716</v>
      </c>
    </row>
    <row r="520" spans="1:17" ht="12.75">
      <c r="A520" s="73">
        <f t="shared" si="26"/>
        <v>510</v>
      </c>
      <c r="B520" s="57" t="s">
        <v>652</v>
      </c>
      <c r="C520" s="12">
        <v>21336</v>
      </c>
      <c r="D520" s="17"/>
      <c r="E520" s="20"/>
      <c r="F520" s="20"/>
      <c r="G520" s="20"/>
      <c r="H520" s="20"/>
      <c r="I520" s="20"/>
      <c r="J520" s="20"/>
      <c r="K520" s="22"/>
      <c r="L520" s="20"/>
      <c r="M520" s="20"/>
      <c r="N520" s="20"/>
      <c r="O520" s="20"/>
      <c r="P520" s="20"/>
      <c r="Q520" s="20">
        <f t="shared" si="25"/>
        <v>0</v>
      </c>
    </row>
    <row r="521" spans="1:18" ht="12.75">
      <c r="A521" s="73">
        <f t="shared" si="26"/>
        <v>511</v>
      </c>
      <c r="B521" s="57" t="s">
        <v>653</v>
      </c>
      <c r="C521" s="12">
        <v>22170</v>
      </c>
      <c r="D521" s="17" t="s">
        <v>717</v>
      </c>
      <c r="E521" s="20"/>
      <c r="F521" s="20"/>
      <c r="G521" s="20"/>
      <c r="H521" s="20"/>
      <c r="I521" s="20"/>
      <c r="J521" s="20"/>
      <c r="K521" s="22"/>
      <c r="L521" s="20"/>
      <c r="M521" s="20"/>
      <c r="N521" s="20"/>
      <c r="O521" s="20"/>
      <c r="P521" s="66"/>
      <c r="Q521" s="20">
        <f t="shared" si="25"/>
        <v>0</v>
      </c>
      <c r="R521" s="34" t="s">
        <v>716</v>
      </c>
    </row>
    <row r="522" spans="1:18" ht="12.75">
      <c r="A522" s="73">
        <f t="shared" si="26"/>
        <v>512</v>
      </c>
      <c r="B522" s="57" t="s">
        <v>654</v>
      </c>
      <c r="C522" s="12">
        <v>22157</v>
      </c>
      <c r="D522" s="17" t="s">
        <v>717</v>
      </c>
      <c r="E522" s="20"/>
      <c r="F522" s="20"/>
      <c r="G522" s="20"/>
      <c r="H522" s="20"/>
      <c r="I522" s="20"/>
      <c r="J522" s="20"/>
      <c r="K522" s="22"/>
      <c r="L522" s="20"/>
      <c r="M522" s="20"/>
      <c r="N522" s="20"/>
      <c r="O522" s="20"/>
      <c r="P522" s="66"/>
      <c r="Q522" s="20">
        <f t="shared" si="25"/>
        <v>0</v>
      </c>
      <c r="R522" s="34" t="s">
        <v>716</v>
      </c>
    </row>
    <row r="523" spans="1:18" ht="12.75">
      <c r="A523" s="73">
        <f t="shared" si="26"/>
        <v>513</v>
      </c>
      <c r="B523" s="57" t="s">
        <v>655</v>
      </c>
      <c r="C523" s="12">
        <v>22158</v>
      </c>
      <c r="D523" s="17" t="s">
        <v>717</v>
      </c>
      <c r="E523" s="20"/>
      <c r="F523" s="20"/>
      <c r="G523" s="20"/>
      <c r="H523" s="20"/>
      <c r="I523" s="20"/>
      <c r="J523" s="20"/>
      <c r="K523" s="22"/>
      <c r="L523" s="20"/>
      <c r="M523" s="20"/>
      <c r="N523" s="20"/>
      <c r="O523" s="20"/>
      <c r="P523" s="66"/>
      <c r="Q523" s="20">
        <f t="shared" si="25"/>
        <v>0</v>
      </c>
      <c r="R523" s="34" t="s">
        <v>716</v>
      </c>
    </row>
    <row r="524" spans="1:18" ht="12.75">
      <c r="A524" s="73">
        <f t="shared" si="26"/>
        <v>514</v>
      </c>
      <c r="B524" s="57" t="s">
        <v>656</v>
      </c>
      <c r="C524" s="12">
        <v>22171</v>
      </c>
      <c r="D524" s="17" t="s">
        <v>717</v>
      </c>
      <c r="E524" s="20"/>
      <c r="F524" s="20"/>
      <c r="G524" s="20"/>
      <c r="H524" s="20"/>
      <c r="I524" s="20"/>
      <c r="J524" s="20"/>
      <c r="K524" s="22"/>
      <c r="L524" s="20"/>
      <c r="M524" s="20"/>
      <c r="N524" s="20"/>
      <c r="O524" s="20"/>
      <c r="P524" s="66"/>
      <c r="Q524" s="20">
        <f t="shared" si="25"/>
        <v>0</v>
      </c>
      <c r="R524" s="34" t="s">
        <v>716</v>
      </c>
    </row>
    <row r="525" spans="1:231" s="44" customFormat="1" ht="12.75">
      <c r="A525" s="73">
        <f t="shared" si="26"/>
        <v>515</v>
      </c>
      <c r="B525" s="57" t="s">
        <v>657</v>
      </c>
      <c r="C525" s="12"/>
      <c r="D525" s="17" t="s">
        <v>717</v>
      </c>
      <c r="E525" s="20"/>
      <c r="F525" s="20"/>
      <c r="G525" s="20"/>
      <c r="H525" s="20"/>
      <c r="I525" s="20"/>
      <c r="J525" s="20"/>
      <c r="K525" s="22"/>
      <c r="L525" s="20"/>
      <c r="M525" s="20"/>
      <c r="N525" s="20"/>
      <c r="O525" s="20"/>
      <c r="P525" s="66"/>
      <c r="Q525" s="20">
        <f t="shared" si="25"/>
        <v>0</v>
      </c>
      <c r="R525" s="34" t="s">
        <v>716</v>
      </c>
      <c r="S525" s="34"/>
      <c r="T525" s="34"/>
      <c r="U525" s="34"/>
      <c r="V525" s="34"/>
      <c r="W525" s="34"/>
      <c r="X525" s="34"/>
      <c r="Y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</row>
    <row r="526" spans="1:17" ht="12.75">
      <c r="A526" s="73">
        <f t="shared" si="26"/>
        <v>516</v>
      </c>
      <c r="B526" s="57" t="s">
        <v>658</v>
      </c>
      <c r="C526" s="12">
        <v>21179</v>
      </c>
      <c r="D526" s="17"/>
      <c r="E526" s="66"/>
      <c r="F526" s="66"/>
      <c r="G526" s="66"/>
      <c r="H526" s="66"/>
      <c r="I526" s="20"/>
      <c r="J526" s="20"/>
      <c r="K526" s="22"/>
      <c r="L526" s="20"/>
      <c r="M526" s="20"/>
      <c r="N526" s="20"/>
      <c r="O526" s="20"/>
      <c r="P526" s="66"/>
      <c r="Q526" s="20">
        <f t="shared" si="25"/>
        <v>0</v>
      </c>
    </row>
    <row r="527" spans="1:17" ht="12.75">
      <c r="A527" s="73">
        <f t="shared" si="26"/>
        <v>517</v>
      </c>
      <c r="B527" s="57" t="s">
        <v>659</v>
      </c>
      <c r="C527" s="12">
        <v>21186</v>
      </c>
      <c r="D527" s="17"/>
      <c r="E527" s="20"/>
      <c r="F527" s="20"/>
      <c r="G527" s="20"/>
      <c r="H527" s="20"/>
      <c r="I527" s="20"/>
      <c r="J527" s="20"/>
      <c r="K527" s="22"/>
      <c r="L527" s="20"/>
      <c r="M527" s="20"/>
      <c r="N527" s="20"/>
      <c r="O527" s="20"/>
      <c r="P527" s="20"/>
      <c r="Q527" s="20">
        <f t="shared" si="25"/>
        <v>0</v>
      </c>
    </row>
    <row r="528" spans="1:231" s="44" customFormat="1" ht="12.75">
      <c r="A528" s="73">
        <f t="shared" si="26"/>
        <v>518</v>
      </c>
      <c r="B528" s="57" t="s">
        <v>660</v>
      </c>
      <c r="C528" s="12">
        <v>21209</v>
      </c>
      <c r="D528" s="17"/>
      <c r="E528" s="20"/>
      <c r="F528" s="20"/>
      <c r="G528" s="20"/>
      <c r="H528" s="20"/>
      <c r="I528" s="20"/>
      <c r="J528" s="20"/>
      <c r="K528" s="22"/>
      <c r="L528" s="20"/>
      <c r="M528" s="20"/>
      <c r="N528" s="20"/>
      <c r="O528" s="20"/>
      <c r="P528" s="20"/>
      <c r="Q528" s="20">
        <f t="shared" si="25"/>
        <v>0</v>
      </c>
      <c r="R528" s="34"/>
      <c r="S528" s="34"/>
      <c r="T528" s="34"/>
      <c r="U528" s="34"/>
      <c r="V528" s="34"/>
      <c r="W528" s="34"/>
      <c r="X528" s="34"/>
      <c r="Y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</row>
    <row r="529" spans="1:17" ht="12.75">
      <c r="A529" s="73">
        <f t="shared" si="26"/>
        <v>519</v>
      </c>
      <c r="B529" s="57" t="s">
        <v>661</v>
      </c>
      <c r="C529" s="12">
        <v>21204</v>
      </c>
      <c r="D529" s="17"/>
      <c r="E529" s="66"/>
      <c r="F529" s="66"/>
      <c r="G529" s="66"/>
      <c r="H529" s="66"/>
      <c r="I529" s="20"/>
      <c r="J529" s="20"/>
      <c r="K529" s="22"/>
      <c r="L529" s="20"/>
      <c r="M529" s="20"/>
      <c r="N529" s="20"/>
      <c r="O529" s="20"/>
      <c r="P529" s="66"/>
      <c r="Q529" s="20">
        <f>E529+F529+G529+H529+I529+J529+K529+L529+M529+N529+O529+P529</f>
        <v>0</v>
      </c>
    </row>
    <row r="530" spans="1:17" ht="12.75">
      <c r="A530" s="73">
        <f t="shared" si="26"/>
        <v>520</v>
      </c>
      <c r="B530" s="57" t="s">
        <v>662</v>
      </c>
      <c r="C530" s="12">
        <v>21373</v>
      </c>
      <c r="D530" s="17"/>
      <c r="E530" s="66"/>
      <c r="F530" s="66"/>
      <c r="G530" s="66"/>
      <c r="H530" s="66"/>
      <c r="I530" s="20"/>
      <c r="J530" s="20"/>
      <c r="K530" s="22"/>
      <c r="L530" s="20"/>
      <c r="M530" s="20"/>
      <c r="N530" s="20"/>
      <c r="O530" s="20"/>
      <c r="P530" s="66"/>
      <c r="Q530" s="20">
        <f t="shared" si="25"/>
        <v>0</v>
      </c>
    </row>
    <row r="531" spans="1:17" ht="12.75">
      <c r="A531" s="73">
        <f t="shared" si="26"/>
        <v>521</v>
      </c>
      <c r="B531" s="57" t="s">
        <v>663</v>
      </c>
      <c r="C531" s="12">
        <v>21374</v>
      </c>
      <c r="D531" s="17"/>
      <c r="E531" s="66"/>
      <c r="F531" s="66"/>
      <c r="G531" s="66"/>
      <c r="H531" s="66"/>
      <c r="I531" s="20"/>
      <c r="J531" s="20"/>
      <c r="K531" s="22"/>
      <c r="L531" s="20"/>
      <c r="M531" s="20"/>
      <c r="N531" s="20"/>
      <c r="O531" s="20"/>
      <c r="P531" s="66"/>
      <c r="Q531" s="20">
        <f t="shared" si="25"/>
        <v>0</v>
      </c>
    </row>
    <row r="532" spans="1:17" ht="12.75">
      <c r="A532" s="73">
        <f t="shared" si="26"/>
        <v>522</v>
      </c>
      <c r="B532" s="57" t="s">
        <v>664</v>
      </c>
      <c r="C532" s="12">
        <v>21361</v>
      </c>
      <c r="D532" s="17"/>
      <c r="E532" s="20"/>
      <c r="F532" s="20"/>
      <c r="G532" s="20"/>
      <c r="H532" s="20"/>
      <c r="I532" s="20"/>
      <c r="J532" s="20"/>
      <c r="K532" s="22"/>
      <c r="L532" s="20"/>
      <c r="M532" s="20"/>
      <c r="N532" s="20"/>
      <c r="O532" s="20"/>
      <c r="P532" s="20"/>
      <c r="Q532" s="20">
        <f t="shared" si="25"/>
        <v>0</v>
      </c>
    </row>
    <row r="533" spans="1:17" ht="12.75">
      <c r="A533" s="73">
        <f t="shared" si="26"/>
        <v>523</v>
      </c>
      <c r="B533" s="57" t="s">
        <v>665</v>
      </c>
      <c r="C533" s="12">
        <v>21816</v>
      </c>
      <c r="D533" s="17"/>
      <c r="E533" s="66"/>
      <c r="F533" s="66"/>
      <c r="G533" s="66"/>
      <c r="H533" s="66"/>
      <c r="I533" s="20"/>
      <c r="J533" s="20"/>
      <c r="K533" s="22"/>
      <c r="L533" s="20"/>
      <c r="M533" s="20"/>
      <c r="N533" s="20"/>
      <c r="O533" s="20"/>
      <c r="P533" s="66"/>
      <c r="Q533" s="20">
        <f t="shared" si="25"/>
        <v>0</v>
      </c>
    </row>
    <row r="534" spans="1:18" ht="12.75">
      <c r="A534" s="73">
        <f t="shared" si="26"/>
        <v>524</v>
      </c>
      <c r="B534" s="57" t="s">
        <v>666</v>
      </c>
      <c r="C534" s="12">
        <v>12226</v>
      </c>
      <c r="D534" s="17" t="s">
        <v>717</v>
      </c>
      <c r="E534" s="20"/>
      <c r="F534" s="20"/>
      <c r="G534" s="20"/>
      <c r="H534" s="20"/>
      <c r="I534" s="20"/>
      <c r="J534" s="20"/>
      <c r="K534" s="22"/>
      <c r="L534" s="20"/>
      <c r="M534" s="20"/>
      <c r="N534" s="20"/>
      <c r="O534" s="20"/>
      <c r="P534" s="20"/>
      <c r="Q534" s="20">
        <f t="shared" si="25"/>
        <v>0</v>
      </c>
      <c r="R534" s="34" t="s">
        <v>716</v>
      </c>
    </row>
    <row r="535" spans="1:17" ht="12.75">
      <c r="A535" s="73">
        <f t="shared" si="26"/>
        <v>525</v>
      </c>
      <c r="B535" s="57" t="s">
        <v>667</v>
      </c>
      <c r="C535" s="9">
        <v>21654</v>
      </c>
      <c r="D535" s="17"/>
      <c r="E535" s="66"/>
      <c r="F535" s="66"/>
      <c r="G535" s="66"/>
      <c r="H535" s="66"/>
      <c r="I535" s="20"/>
      <c r="J535" s="20"/>
      <c r="K535" s="22"/>
      <c r="L535" s="20"/>
      <c r="M535" s="20"/>
      <c r="N535" s="20"/>
      <c r="O535" s="20"/>
      <c r="P535" s="66"/>
      <c r="Q535" s="20">
        <f t="shared" si="25"/>
        <v>0</v>
      </c>
    </row>
    <row r="536" spans="1:17" ht="12.75">
      <c r="A536" s="73">
        <f t="shared" si="26"/>
        <v>526</v>
      </c>
      <c r="B536" s="57" t="s">
        <v>668</v>
      </c>
      <c r="C536" s="12">
        <v>21212</v>
      </c>
      <c r="D536" s="17"/>
      <c r="E536" s="66"/>
      <c r="F536" s="66"/>
      <c r="G536" s="66"/>
      <c r="H536" s="66"/>
      <c r="I536" s="20"/>
      <c r="J536" s="20"/>
      <c r="K536" s="22"/>
      <c r="L536" s="20"/>
      <c r="M536" s="20"/>
      <c r="N536" s="20"/>
      <c r="O536" s="20"/>
      <c r="P536" s="66"/>
      <c r="Q536" s="20">
        <f t="shared" si="25"/>
        <v>0</v>
      </c>
    </row>
    <row r="537" spans="1:17" ht="12.75">
      <c r="A537" s="73">
        <f t="shared" si="26"/>
        <v>527</v>
      </c>
      <c r="B537" s="57" t="s">
        <v>669</v>
      </c>
      <c r="C537" s="76">
        <v>21213</v>
      </c>
      <c r="D537" s="17"/>
      <c r="E537" s="66"/>
      <c r="F537" s="66"/>
      <c r="G537" s="66"/>
      <c r="H537" s="66"/>
      <c r="I537" s="20"/>
      <c r="J537" s="20"/>
      <c r="K537" s="22"/>
      <c r="L537" s="20"/>
      <c r="M537" s="20"/>
      <c r="N537" s="20"/>
      <c r="O537" s="20"/>
      <c r="P537" s="66"/>
      <c r="Q537" s="20">
        <f t="shared" si="25"/>
        <v>0</v>
      </c>
    </row>
    <row r="538" spans="1:17" ht="12.75">
      <c r="A538" s="73">
        <f t="shared" si="26"/>
        <v>528</v>
      </c>
      <c r="B538" s="57" t="s">
        <v>670</v>
      </c>
      <c r="C538" s="12">
        <v>21214</v>
      </c>
      <c r="D538" s="17"/>
      <c r="E538" s="66"/>
      <c r="F538" s="66"/>
      <c r="G538" s="66"/>
      <c r="H538" s="66"/>
      <c r="I538" s="20"/>
      <c r="J538" s="20"/>
      <c r="K538" s="22"/>
      <c r="L538" s="20"/>
      <c r="M538" s="20"/>
      <c r="N538" s="20"/>
      <c r="O538" s="20"/>
      <c r="P538" s="66"/>
      <c r="Q538" s="20">
        <f t="shared" si="25"/>
        <v>0</v>
      </c>
    </row>
    <row r="539" spans="1:17" ht="12.75">
      <c r="A539" s="73">
        <f t="shared" si="26"/>
        <v>529</v>
      </c>
      <c r="B539" s="57" t="s">
        <v>671</v>
      </c>
      <c r="C539" s="12">
        <v>21375</v>
      </c>
      <c r="D539" s="17"/>
      <c r="E539" s="20"/>
      <c r="F539" s="20"/>
      <c r="G539" s="20"/>
      <c r="H539" s="20"/>
      <c r="I539" s="20"/>
      <c r="J539" s="20"/>
      <c r="K539" s="22"/>
      <c r="L539" s="20"/>
      <c r="M539" s="20"/>
      <c r="N539" s="20"/>
      <c r="O539" s="20"/>
      <c r="P539" s="20"/>
      <c r="Q539" s="20">
        <f t="shared" si="25"/>
        <v>0</v>
      </c>
    </row>
    <row r="540" spans="1:18" ht="12.75">
      <c r="A540" s="73">
        <f t="shared" si="26"/>
        <v>530</v>
      </c>
      <c r="B540" s="54" t="s">
        <v>672</v>
      </c>
      <c r="C540" s="10">
        <v>21822</v>
      </c>
      <c r="D540" s="45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>
        <f t="shared" si="25"/>
        <v>0</v>
      </c>
      <c r="R540" s="34" t="s">
        <v>715</v>
      </c>
    </row>
    <row r="541" spans="1:17" ht="12.75">
      <c r="A541" s="73">
        <f t="shared" si="26"/>
        <v>531</v>
      </c>
      <c r="B541" s="54" t="s">
        <v>673</v>
      </c>
      <c r="C541" s="12">
        <v>21386</v>
      </c>
      <c r="D541" s="45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>
        <f t="shared" si="25"/>
        <v>0</v>
      </c>
    </row>
    <row r="542" spans="1:18" ht="12.75">
      <c r="A542" s="73">
        <f t="shared" si="26"/>
        <v>532</v>
      </c>
      <c r="B542" s="54" t="s">
        <v>674</v>
      </c>
      <c r="C542" s="10">
        <v>21826</v>
      </c>
      <c r="D542" s="45">
        <v>0</v>
      </c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>
        <f t="shared" si="25"/>
        <v>0</v>
      </c>
      <c r="R542" s="34" t="s">
        <v>729</v>
      </c>
    </row>
    <row r="543" spans="1:231" s="44" customFormat="1" ht="12.75">
      <c r="A543" s="73">
        <f t="shared" si="26"/>
        <v>533</v>
      </c>
      <c r="B543" s="54" t="s">
        <v>675</v>
      </c>
      <c r="C543" s="10">
        <v>21834</v>
      </c>
      <c r="D543" s="45">
        <v>0</v>
      </c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>
        <f t="shared" si="25"/>
        <v>0</v>
      </c>
      <c r="R543" s="34" t="s">
        <v>730</v>
      </c>
      <c r="S543" s="34"/>
      <c r="T543" s="34"/>
      <c r="U543" s="34"/>
      <c r="V543" s="34"/>
      <c r="W543" s="34"/>
      <c r="X543" s="34"/>
      <c r="Y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</row>
    <row r="544" spans="1:231" s="44" customFormat="1" ht="12.75">
      <c r="A544" s="73">
        <f t="shared" si="26"/>
        <v>534</v>
      </c>
      <c r="B544" s="57" t="s">
        <v>676</v>
      </c>
      <c r="C544" s="12">
        <v>12265</v>
      </c>
      <c r="D544" s="17" t="s">
        <v>717</v>
      </c>
      <c r="E544" s="20"/>
      <c r="F544" s="20"/>
      <c r="G544" s="20"/>
      <c r="H544" s="20"/>
      <c r="I544" s="20"/>
      <c r="J544" s="20"/>
      <c r="K544" s="22"/>
      <c r="L544" s="20"/>
      <c r="M544" s="20"/>
      <c r="N544" s="20"/>
      <c r="O544" s="20"/>
      <c r="P544" s="20"/>
      <c r="Q544" s="20">
        <f t="shared" si="25"/>
        <v>0</v>
      </c>
      <c r="R544" s="34" t="s">
        <v>716</v>
      </c>
      <c r="S544" s="34"/>
      <c r="T544" s="34"/>
      <c r="U544" s="34"/>
      <c r="V544" s="34"/>
      <c r="W544" s="34"/>
      <c r="X544" s="34"/>
      <c r="Y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</row>
    <row r="545" spans="1:17" ht="12.75">
      <c r="A545" s="73">
        <f t="shared" si="26"/>
        <v>535</v>
      </c>
      <c r="B545" s="57" t="s">
        <v>677</v>
      </c>
      <c r="C545" s="12">
        <v>21663</v>
      </c>
      <c r="D545" s="17"/>
      <c r="E545" s="66"/>
      <c r="F545" s="66"/>
      <c r="G545" s="66"/>
      <c r="H545" s="66"/>
      <c r="I545" s="20"/>
      <c r="J545" s="20"/>
      <c r="K545" s="22"/>
      <c r="L545" s="20"/>
      <c r="M545" s="20"/>
      <c r="N545" s="20"/>
      <c r="O545" s="20"/>
      <c r="P545" s="66"/>
      <c r="Q545" s="20">
        <f t="shared" si="25"/>
        <v>0</v>
      </c>
    </row>
    <row r="546" spans="1:17" ht="12.75">
      <c r="A546" s="73">
        <f t="shared" si="26"/>
        <v>536</v>
      </c>
      <c r="B546" s="57" t="s">
        <v>678</v>
      </c>
      <c r="C546" s="12">
        <v>21666</v>
      </c>
      <c r="D546" s="17"/>
      <c r="E546" s="66"/>
      <c r="F546" s="66"/>
      <c r="G546" s="66"/>
      <c r="H546" s="66"/>
      <c r="I546" s="20"/>
      <c r="J546" s="20"/>
      <c r="K546" s="22"/>
      <c r="L546" s="20"/>
      <c r="M546" s="20"/>
      <c r="N546" s="20"/>
      <c r="O546" s="20"/>
      <c r="P546" s="66"/>
      <c r="Q546" s="20">
        <f t="shared" si="25"/>
        <v>0</v>
      </c>
    </row>
    <row r="547" spans="1:18" ht="12.75">
      <c r="A547" s="73">
        <f t="shared" si="26"/>
        <v>537</v>
      </c>
      <c r="B547" s="57" t="s">
        <v>679</v>
      </c>
      <c r="C547" s="12">
        <v>11713</v>
      </c>
      <c r="D547" s="17" t="s">
        <v>718</v>
      </c>
      <c r="E547" s="20"/>
      <c r="F547" s="20"/>
      <c r="G547" s="20"/>
      <c r="H547" s="20"/>
      <c r="I547" s="20"/>
      <c r="J547" s="20"/>
      <c r="K547" s="22"/>
      <c r="L547" s="20"/>
      <c r="M547" s="20"/>
      <c r="N547" s="20"/>
      <c r="O547" s="20"/>
      <c r="P547" s="20"/>
      <c r="Q547" s="20">
        <f t="shared" si="25"/>
        <v>0</v>
      </c>
      <c r="R547" s="34" t="s">
        <v>719</v>
      </c>
    </row>
    <row r="548" spans="1:18" ht="12.75">
      <c r="A548" s="73">
        <f t="shared" si="26"/>
        <v>538</v>
      </c>
      <c r="B548" s="57" t="s">
        <v>680</v>
      </c>
      <c r="C548" s="12">
        <v>10014</v>
      </c>
      <c r="D548" s="17" t="s">
        <v>717</v>
      </c>
      <c r="E548" s="66"/>
      <c r="F548" s="66"/>
      <c r="G548" s="66"/>
      <c r="H548" s="66"/>
      <c r="I548" s="20"/>
      <c r="J548" s="20"/>
      <c r="K548" s="22"/>
      <c r="L548" s="20"/>
      <c r="M548" s="20"/>
      <c r="N548" s="20"/>
      <c r="O548" s="20"/>
      <c r="P548" s="66"/>
      <c r="Q548" s="20">
        <f t="shared" si="25"/>
        <v>0</v>
      </c>
      <c r="R548" s="34" t="s">
        <v>716</v>
      </c>
    </row>
    <row r="549" spans="1:18" ht="12.75">
      <c r="A549" s="73">
        <f t="shared" si="26"/>
        <v>539</v>
      </c>
      <c r="B549" s="57" t="s">
        <v>681</v>
      </c>
      <c r="C549" s="12">
        <v>12625</v>
      </c>
      <c r="D549" s="17" t="s">
        <v>717</v>
      </c>
      <c r="E549" s="20"/>
      <c r="F549" s="20"/>
      <c r="G549" s="20"/>
      <c r="H549" s="20"/>
      <c r="I549" s="20"/>
      <c r="J549" s="20"/>
      <c r="K549" s="22"/>
      <c r="L549" s="20"/>
      <c r="M549" s="20"/>
      <c r="N549" s="20"/>
      <c r="O549" s="20"/>
      <c r="P549" s="20"/>
      <c r="Q549" s="20">
        <f t="shared" si="25"/>
        <v>0</v>
      </c>
      <c r="R549" s="34" t="s">
        <v>716</v>
      </c>
    </row>
    <row r="550" spans="1:17" ht="12.75">
      <c r="A550" s="73">
        <f t="shared" si="26"/>
        <v>540</v>
      </c>
      <c r="B550" s="57" t="s">
        <v>682</v>
      </c>
      <c r="C550" s="12">
        <v>21408</v>
      </c>
      <c r="D550" s="17">
        <v>1</v>
      </c>
      <c r="E550" s="66"/>
      <c r="F550" s="66"/>
      <c r="G550" s="66"/>
      <c r="H550" s="66"/>
      <c r="I550" s="20"/>
      <c r="J550" s="20"/>
      <c r="K550" s="22"/>
      <c r="L550" s="20"/>
      <c r="M550" s="20"/>
      <c r="N550" s="20"/>
      <c r="O550" s="20"/>
      <c r="P550" s="66"/>
      <c r="Q550" s="20">
        <f t="shared" si="25"/>
        <v>0</v>
      </c>
    </row>
    <row r="551" spans="1:231" s="44" customFormat="1" ht="12.75">
      <c r="A551" s="73">
        <f t="shared" si="26"/>
        <v>541</v>
      </c>
      <c r="B551" s="57" t="s">
        <v>683</v>
      </c>
      <c r="C551" s="9">
        <v>21412</v>
      </c>
      <c r="D551" s="17">
        <v>0</v>
      </c>
      <c r="E551" s="20"/>
      <c r="F551" s="20"/>
      <c r="G551" s="20"/>
      <c r="H551" s="20"/>
      <c r="I551" s="20"/>
      <c r="J551" s="20"/>
      <c r="K551" s="22"/>
      <c r="L551" s="20"/>
      <c r="M551" s="20"/>
      <c r="N551" s="20"/>
      <c r="O551" s="20"/>
      <c r="P551" s="20"/>
      <c r="Q551" s="20">
        <f t="shared" si="25"/>
        <v>0</v>
      </c>
      <c r="R551" s="34"/>
      <c r="S551" s="34"/>
      <c r="T551" s="34"/>
      <c r="U551" s="34"/>
      <c r="V551" s="34"/>
      <c r="W551" s="34"/>
      <c r="X551" s="34"/>
      <c r="Y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</row>
    <row r="552" spans="1:17" ht="12.75">
      <c r="A552" s="73">
        <f t="shared" si="26"/>
        <v>542</v>
      </c>
      <c r="B552" s="57" t="s">
        <v>684</v>
      </c>
      <c r="C552" s="9">
        <v>21435</v>
      </c>
      <c r="D552" s="17"/>
      <c r="E552" s="20"/>
      <c r="F552" s="20"/>
      <c r="G552" s="20"/>
      <c r="H552" s="20"/>
      <c r="I552" s="20"/>
      <c r="J552" s="20"/>
      <c r="K552" s="22"/>
      <c r="L552" s="20"/>
      <c r="M552" s="20"/>
      <c r="N552" s="20"/>
      <c r="O552" s="20"/>
      <c r="P552" s="20"/>
      <c r="Q552" s="20">
        <f t="shared" si="25"/>
        <v>0</v>
      </c>
    </row>
    <row r="553" spans="1:17" ht="12.75">
      <c r="A553" s="73">
        <f t="shared" si="26"/>
        <v>543</v>
      </c>
      <c r="B553" s="57" t="s">
        <v>630</v>
      </c>
      <c r="C553" s="9">
        <v>21437</v>
      </c>
      <c r="D553" s="17"/>
      <c r="E553" s="66"/>
      <c r="F553" s="66"/>
      <c r="G553" s="66"/>
      <c r="H553" s="66"/>
      <c r="I553" s="20"/>
      <c r="J553" s="20"/>
      <c r="K553" s="22"/>
      <c r="L553" s="20"/>
      <c r="M553" s="20"/>
      <c r="N553" s="20"/>
      <c r="O553" s="20"/>
      <c r="P553" s="66"/>
      <c r="Q553" s="20">
        <f t="shared" si="25"/>
        <v>0</v>
      </c>
    </row>
    <row r="554" spans="1:18" ht="12.75">
      <c r="A554" s="73">
        <f t="shared" si="26"/>
        <v>544</v>
      </c>
      <c r="B554" s="57" t="s">
        <v>685</v>
      </c>
      <c r="C554" s="77">
        <v>12647</v>
      </c>
      <c r="D554" s="17" t="s">
        <v>717</v>
      </c>
      <c r="E554" s="20"/>
      <c r="F554" s="20"/>
      <c r="G554" s="20"/>
      <c r="H554" s="20"/>
      <c r="I554" s="20"/>
      <c r="J554" s="20"/>
      <c r="K554" s="22"/>
      <c r="L554" s="20"/>
      <c r="M554" s="20"/>
      <c r="N554" s="20"/>
      <c r="O554" s="20"/>
      <c r="P554" s="20"/>
      <c r="Q554" s="20">
        <f t="shared" si="25"/>
        <v>0</v>
      </c>
      <c r="R554" s="34" t="s">
        <v>716</v>
      </c>
    </row>
    <row r="555" spans="1:18" ht="12.75">
      <c r="A555" s="73">
        <f t="shared" si="26"/>
        <v>545</v>
      </c>
      <c r="B555" s="57" t="s">
        <v>686</v>
      </c>
      <c r="C555" s="12">
        <v>12282</v>
      </c>
      <c r="D555" s="17" t="s">
        <v>717</v>
      </c>
      <c r="E555" s="20"/>
      <c r="F555" s="20"/>
      <c r="G555" s="20"/>
      <c r="H555" s="20"/>
      <c r="I555" s="20"/>
      <c r="J555" s="20"/>
      <c r="K555" s="22"/>
      <c r="L555" s="20"/>
      <c r="M555" s="20"/>
      <c r="N555" s="20"/>
      <c r="O555" s="20"/>
      <c r="P555" s="66"/>
      <c r="Q555" s="20">
        <f t="shared" si="25"/>
        <v>0</v>
      </c>
      <c r="R555" s="34" t="s">
        <v>716</v>
      </c>
    </row>
    <row r="556" spans="1:18" ht="12.75">
      <c r="A556" s="73">
        <f t="shared" si="26"/>
        <v>546</v>
      </c>
      <c r="B556" s="57" t="s">
        <v>687</v>
      </c>
      <c r="C556" s="12">
        <v>23653</v>
      </c>
      <c r="D556" s="17" t="s">
        <v>717</v>
      </c>
      <c r="E556" s="20"/>
      <c r="F556" s="20"/>
      <c r="G556" s="20"/>
      <c r="H556" s="20"/>
      <c r="I556" s="20"/>
      <c r="J556" s="20"/>
      <c r="K556" s="22"/>
      <c r="L556" s="20"/>
      <c r="M556" s="20"/>
      <c r="N556" s="20"/>
      <c r="O556" s="20"/>
      <c r="P556" s="20"/>
      <c r="Q556" s="20">
        <f t="shared" si="25"/>
        <v>0</v>
      </c>
      <c r="R556" s="34" t="s">
        <v>723</v>
      </c>
    </row>
    <row r="557" spans="1:18" ht="12.75">
      <c r="A557" s="73">
        <f t="shared" si="26"/>
        <v>547</v>
      </c>
      <c r="B557" s="54" t="s">
        <v>688</v>
      </c>
      <c r="C557" s="10">
        <v>23021</v>
      </c>
      <c r="D557" s="45" t="s">
        <v>717</v>
      </c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>
        <f t="shared" si="25"/>
        <v>0</v>
      </c>
      <c r="R557" s="34" t="s">
        <v>732</v>
      </c>
    </row>
    <row r="558" spans="1:18" ht="12.75">
      <c r="A558" s="73">
        <f t="shared" si="26"/>
        <v>548</v>
      </c>
      <c r="B558" s="57" t="s">
        <v>689</v>
      </c>
      <c r="C558" s="12">
        <v>12290</v>
      </c>
      <c r="D558" s="17" t="s">
        <v>717</v>
      </c>
      <c r="E558" s="20"/>
      <c r="F558" s="20"/>
      <c r="G558" s="20"/>
      <c r="H558" s="20"/>
      <c r="I558" s="20"/>
      <c r="J558" s="20"/>
      <c r="K558" s="22"/>
      <c r="L558" s="20"/>
      <c r="M558" s="20"/>
      <c r="N558" s="20"/>
      <c r="O558" s="20"/>
      <c r="P558" s="66"/>
      <c r="Q558" s="20">
        <f t="shared" si="25"/>
        <v>0</v>
      </c>
      <c r="R558" s="34" t="s">
        <v>716</v>
      </c>
    </row>
    <row r="559" spans="1:18" ht="12.75">
      <c r="A559" s="73">
        <f t="shared" si="26"/>
        <v>549</v>
      </c>
      <c r="B559" s="57" t="s">
        <v>690</v>
      </c>
      <c r="C559" s="12">
        <v>23708</v>
      </c>
      <c r="D559" s="17" t="s">
        <v>717</v>
      </c>
      <c r="E559" s="20"/>
      <c r="F559" s="20"/>
      <c r="G559" s="20"/>
      <c r="H559" s="20"/>
      <c r="I559" s="20"/>
      <c r="J559" s="20"/>
      <c r="K559" s="22"/>
      <c r="L559" s="20"/>
      <c r="M559" s="20"/>
      <c r="N559" s="20"/>
      <c r="O559" s="20"/>
      <c r="P559" s="66"/>
      <c r="Q559" s="20">
        <f t="shared" si="25"/>
        <v>0</v>
      </c>
      <c r="R559" s="34" t="s">
        <v>723</v>
      </c>
    </row>
    <row r="560" spans="1:17" ht="12.75">
      <c r="A560" s="73">
        <f t="shared" si="26"/>
        <v>550</v>
      </c>
      <c r="B560" s="57" t="s">
        <v>691</v>
      </c>
      <c r="C560" s="9">
        <v>21467</v>
      </c>
      <c r="D560" s="17"/>
      <c r="E560" s="20"/>
      <c r="F560" s="20"/>
      <c r="G560" s="20"/>
      <c r="H560" s="20"/>
      <c r="I560" s="20"/>
      <c r="J560" s="20"/>
      <c r="K560" s="22"/>
      <c r="L560" s="20"/>
      <c r="M560" s="20"/>
      <c r="N560" s="20"/>
      <c r="O560" s="20"/>
      <c r="P560" s="20"/>
      <c r="Q560" s="20">
        <f t="shared" si="25"/>
        <v>0</v>
      </c>
    </row>
    <row r="561" spans="1:18" ht="12.75">
      <c r="A561" s="73">
        <f t="shared" si="26"/>
        <v>551</v>
      </c>
      <c r="B561" s="57" t="s">
        <v>692</v>
      </c>
      <c r="C561" s="12">
        <v>23724</v>
      </c>
      <c r="D561" s="17" t="s">
        <v>717</v>
      </c>
      <c r="E561" s="20"/>
      <c r="F561" s="20"/>
      <c r="G561" s="20"/>
      <c r="H561" s="20"/>
      <c r="I561" s="20"/>
      <c r="J561" s="20"/>
      <c r="K561" s="22"/>
      <c r="L561" s="20"/>
      <c r="M561" s="20"/>
      <c r="N561" s="20"/>
      <c r="O561" s="20"/>
      <c r="P561" s="66"/>
      <c r="Q561" s="20">
        <f t="shared" si="25"/>
        <v>0</v>
      </c>
      <c r="R561" s="34" t="s">
        <v>723</v>
      </c>
    </row>
    <row r="562" spans="1:17" ht="12.75">
      <c r="A562" s="73">
        <f t="shared" si="26"/>
        <v>552</v>
      </c>
      <c r="B562" s="57" t="s">
        <v>693</v>
      </c>
      <c r="C562" s="9">
        <v>21728</v>
      </c>
      <c r="D562" s="17"/>
      <c r="E562" s="66"/>
      <c r="F562" s="66"/>
      <c r="G562" s="66"/>
      <c r="H562" s="66"/>
      <c r="I562" s="20"/>
      <c r="J562" s="20"/>
      <c r="K562" s="22"/>
      <c r="L562" s="20"/>
      <c r="M562" s="20"/>
      <c r="N562" s="20"/>
      <c r="O562" s="20"/>
      <c r="P562" s="66"/>
      <c r="Q562" s="20">
        <f t="shared" si="25"/>
        <v>0</v>
      </c>
    </row>
    <row r="563" spans="1:17" ht="12.75">
      <c r="A563" s="73">
        <f t="shared" si="26"/>
        <v>553</v>
      </c>
      <c r="B563" s="57" t="s">
        <v>694</v>
      </c>
      <c r="C563" s="9">
        <v>21730</v>
      </c>
      <c r="D563" s="17"/>
      <c r="E563" s="66"/>
      <c r="F563" s="66"/>
      <c r="G563" s="66"/>
      <c r="H563" s="66"/>
      <c r="I563" s="20"/>
      <c r="J563" s="20"/>
      <c r="K563" s="22"/>
      <c r="L563" s="20"/>
      <c r="M563" s="20"/>
      <c r="N563" s="20"/>
      <c r="O563" s="20"/>
      <c r="P563" s="66"/>
      <c r="Q563" s="20">
        <f t="shared" si="25"/>
        <v>0</v>
      </c>
    </row>
    <row r="564" spans="1:18" ht="12.75">
      <c r="A564" s="73">
        <f t="shared" si="26"/>
        <v>554</v>
      </c>
      <c r="B564" s="57" t="s">
        <v>695</v>
      </c>
      <c r="C564" s="9">
        <v>12298</v>
      </c>
      <c r="D564" s="17" t="s">
        <v>717</v>
      </c>
      <c r="E564" s="20"/>
      <c r="F564" s="20"/>
      <c r="G564" s="20"/>
      <c r="H564" s="20"/>
      <c r="I564" s="20"/>
      <c r="J564" s="20"/>
      <c r="K564" s="22"/>
      <c r="L564" s="20"/>
      <c r="M564" s="20"/>
      <c r="N564" s="20"/>
      <c r="O564" s="20"/>
      <c r="P564" s="20"/>
      <c r="Q564" s="20">
        <f t="shared" si="25"/>
        <v>0</v>
      </c>
      <c r="R564" s="34" t="s">
        <v>716</v>
      </c>
    </row>
    <row r="565" spans="1:17" ht="12.75">
      <c r="A565" s="73">
        <f t="shared" si="26"/>
        <v>555</v>
      </c>
      <c r="B565" s="57" t="s">
        <v>696</v>
      </c>
      <c r="C565" s="9">
        <v>21743</v>
      </c>
      <c r="D565" s="17">
        <v>1</v>
      </c>
      <c r="E565" s="66"/>
      <c r="F565" s="66"/>
      <c r="G565" s="66"/>
      <c r="H565" s="66"/>
      <c r="I565" s="20"/>
      <c r="J565" s="20"/>
      <c r="K565" s="22"/>
      <c r="L565" s="20"/>
      <c r="M565" s="20"/>
      <c r="N565" s="20"/>
      <c r="O565" s="20"/>
      <c r="P565" s="66"/>
      <c r="Q565" s="20">
        <f aca="true" t="shared" si="27" ref="Q565:Q576">E565+F565+G565+H565+I565+J565+K565+L565+M565+N565+O565+P565</f>
        <v>0</v>
      </c>
    </row>
    <row r="566" spans="1:17" ht="12.75">
      <c r="A566" s="73">
        <f aca="true" t="shared" si="28" ref="A566:A573">A565+1</f>
        <v>556</v>
      </c>
      <c r="B566" s="57" t="s">
        <v>697</v>
      </c>
      <c r="C566" s="9">
        <v>10013</v>
      </c>
      <c r="D566" s="17"/>
      <c r="E566" s="66"/>
      <c r="F566" s="66"/>
      <c r="G566" s="66"/>
      <c r="H566" s="66"/>
      <c r="I566" s="20"/>
      <c r="J566" s="20"/>
      <c r="K566" s="22"/>
      <c r="L566" s="20"/>
      <c r="M566" s="20"/>
      <c r="N566" s="20"/>
      <c r="O566" s="20"/>
      <c r="P566" s="66"/>
      <c r="Q566" s="20">
        <f t="shared" si="27"/>
        <v>0</v>
      </c>
    </row>
    <row r="567" spans="1:17" ht="12.75">
      <c r="A567" s="73">
        <f t="shared" si="28"/>
        <v>557</v>
      </c>
      <c r="B567" s="41" t="s">
        <v>699</v>
      </c>
      <c r="C567" s="9">
        <v>21761</v>
      </c>
      <c r="D567" s="19"/>
      <c r="E567" s="66"/>
      <c r="F567" s="66"/>
      <c r="G567" s="66"/>
      <c r="H567" s="66"/>
      <c r="I567" s="23"/>
      <c r="J567" s="23"/>
      <c r="K567" s="38"/>
      <c r="L567" s="23"/>
      <c r="M567" s="23"/>
      <c r="N567" s="23"/>
      <c r="O567" s="23"/>
      <c r="P567" s="66"/>
      <c r="Q567" s="20">
        <f t="shared" si="27"/>
        <v>0</v>
      </c>
    </row>
    <row r="568" spans="1:17" ht="12.75">
      <c r="A568" s="73">
        <f t="shared" si="28"/>
        <v>558</v>
      </c>
      <c r="B568" s="41" t="s">
        <v>700</v>
      </c>
      <c r="C568" s="9">
        <v>21798</v>
      </c>
      <c r="D568" s="19"/>
      <c r="E568" s="66"/>
      <c r="F568" s="66"/>
      <c r="G568" s="66"/>
      <c r="H568" s="66"/>
      <c r="I568" s="23"/>
      <c r="J568" s="23"/>
      <c r="K568" s="38"/>
      <c r="L568" s="23"/>
      <c r="M568" s="23"/>
      <c r="N568" s="23"/>
      <c r="O568" s="23"/>
      <c r="P568" s="66"/>
      <c r="Q568" s="20">
        <f t="shared" si="27"/>
        <v>0</v>
      </c>
    </row>
    <row r="569" spans="1:18" ht="12.75">
      <c r="A569" s="73">
        <f t="shared" si="28"/>
        <v>559</v>
      </c>
      <c r="B569" s="41" t="s">
        <v>701</v>
      </c>
      <c r="C569" s="9">
        <v>12701</v>
      </c>
      <c r="D569" s="17" t="s">
        <v>717</v>
      </c>
      <c r="E569" s="23"/>
      <c r="F569" s="23"/>
      <c r="G569" s="23"/>
      <c r="H569" s="23"/>
      <c r="I569" s="23"/>
      <c r="J569" s="23"/>
      <c r="K569" s="38"/>
      <c r="L569" s="23"/>
      <c r="M569" s="23"/>
      <c r="N569" s="23"/>
      <c r="O569" s="23"/>
      <c r="P569" s="66"/>
      <c r="Q569" s="20">
        <f t="shared" si="27"/>
        <v>0</v>
      </c>
      <c r="R569" s="34" t="s">
        <v>716</v>
      </c>
    </row>
    <row r="570" spans="1:17" ht="12.75">
      <c r="A570" s="73">
        <f t="shared" si="28"/>
        <v>560</v>
      </c>
      <c r="B570" s="41" t="s">
        <v>702</v>
      </c>
      <c r="C570" s="77">
        <v>21501</v>
      </c>
      <c r="D570" s="19">
        <v>0</v>
      </c>
      <c r="E570" s="23"/>
      <c r="F570" s="23">
        <v>0</v>
      </c>
      <c r="G570" s="23">
        <v>0</v>
      </c>
      <c r="H570" s="23">
        <v>0</v>
      </c>
      <c r="I570" s="23"/>
      <c r="J570" s="23"/>
      <c r="K570" s="38"/>
      <c r="L570" s="23"/>
      <c r="M570" s="23"/>
      <c r="N570" s="23"/>
      <c r="O570" s="23"/>
      <c r="P570" s="23"/>
      <c r="Q570" s="20">
        <f t="shared" si="27"/>
        <v>0</v>
      </c>
    </row>
    <row r="571" spans="1:17" ht="12.75">
      <c r="A571" s="73">
        <f t="shared" si="28"/>
        <v>561</v>
      </c>
      <c r="B571" s="41" t="s">
        <v>703</v>
      </c>
      <c r="C571" s="12">
        <v>21507</v>
      </c>
      <c r="D571" s="19">
        <v>0</v>
      </c>
      <c r="E571" s="23"/>
      <c r="F571" s="23">
        <v>0</v>
      </c>
      <c r="G571" s="23">
        <v>0</v>
      </c>
      <c r="H571" s="23">
        <v>0</v>
      </c>
      <c r="I571" s="23"/>
      <c r="J571" s="23"/>
      <c r="K571" s="38"/>
      <c r="L571" s="23"/>
      <c r="M571" s="23"/>
      <c r="N571" s="23"/>
      <c r="O571" s="23"/>
      <c r="P571" s="23"/>
      <c r="Q571" s="20">
        <f t="shared" si="27"/>
        <v>0</v>
      </c>
    </row>
    <row r="572" spans="1:17" ht="12.75">
      <c r="A572" s="73">
        <f t="shared" si="28"/>
        <v>562</v>
      </c>
      <c r="B572" s="41" t="s">
        <v>704</v>
      </c>
      <c r="C572" s="12">
        <v>21510</v>
      </c>
      <c r="D572" s="19">
        <v>0</v>
      </c>
      <c r="E572" s="23"/>
      <c r="F572" s="23">
        <v>0</v>
      </c>
      <c r="G572" s="23">
        <v>0</v>
      </c>
      <c r="H572" s="23">
        <v>0</v>
      </c>
      <c r="I572" s="23"/>
      <c r="J572" s="23"/>
      <c r="K572" s="38"/>
      <c r="L572" s="23"/>
      <c r="M572" s="23"/>
      <c r="N572" s="23"/>
      <c r="O572" s="23"/>
      <c r="P572" s="23"/>
      <c r="Q572" s="20">
        <f t="shared" si="27"/>
        <v>0</v>
      </c>
    </row>
    <row r="573" spans="1:18" ht="12.75">
      <c r="A573" s="73">
        <f t="shared" si="28"/>
        <v>563</v>
      </c>
      <c r="B573" s="41" t="s">
        <v>705</v>
      </c>
      <c r="C573" s="77">
        <v>22178</v>
      </c>
      <c r="D573" s="17" t="s">
        <v>717</v>
      </c>
      <c r="E573" s="23">
        <v>0</v>
      </c>
      <c r="F573" s="23">
        <v>0</v>
      </c>
      <c r="G573" s="23">
        <v>0</v>
      </c>
      <c r="H573" s="23">
        <v>0</v>
      </c>
      <c r="I573" s="23"/>
      <c r="J573" s="23"/>
      <c r="K573" s="38"/>
      <c r="L573" s="23"/>
      <c r="M573" s="23"/>
      <c r="N573" s="23"/>
      <c r="O573" s="23"/>
      <c r="P573" s="66"/>
      <c r="Q573" s="20">
        <f t="shared" si="27"/>
        <v>0</v>
      </c>
      <c r="R573" s="34" t="s">
        <v>716</v>
      </c>
    </row>
    <row r="574" spans="1:17" ht="12.75">
      <c r="A574" s="73"/>
      <c r="B574" s="9" t="s">
        <v>598</v>
      </c>
      <c r="C574" s="9"/>
      <c r="D574" s="17"/>
      <c r="E574" s="85">
        <f aca="true" t="shared" si="29" ref="E574:P574">SUM(E1:E573)</f>
        <v>1457451.2300000007</v>
      </c>
      <c r="F574" s="24">
        <f t="shared" si="29"/>
        <v>1384007.4299999964</v>
      </c>
      <c r="G574" s="24">
        <f t="shared" si="29"/>
        <v>303461.20999999973</v>
      </c>
      <c r="H574" s="24">
        <f t="shared" si="29"/>
        <v>28581.660000000014</v>
      </c>
      <c r="I574" s="24">
        <f t="shared" si="29"/>
        <v>522.91</v>
      </c>
      <c r="J574" s="24">
        <f t="shared" si="29"/>
        <v>523.91</v>
      </c>
      <c r="K574" s="24">
        <f t="shared" si="29"/>
        <v>524.91</v>
      </c>
      <c r="L574" s="24">
        <f t="shared" si="29"/>
        <v>525.91</v>
      </c>
      <c r="M574" s="24">
        <f t="shared" si="29"/>
        <v>526.91</v>
      </c>
      <c r="N574" s="24">
        <f t="shared" si="29"/>
        <v>527.91</v>
      </c>
      <c r="O574" s="24">
        <f t="shared" si="29"/>
        <v>528.91</v>
      </c>
      <c r="P574" s="24">
        <f t="shared" si="29"/>
        <v>529.91</v>
      </c>
      <c r="Q574" s="24">
        <f t="shared" si="27"/>
        <v>3177712.8099999987</v>
      </c>
    </row>
    <row r="575" spans="2:18" ht="12.75">
      <c r="B575" s="75" t="s">
        <v>728</v>
      </c>
      <c r="E575" s="86">
        <v>1140976.76</v>
      </c>
      <c r="F575">
        <v>1324716.49</v>
      </c>
      <c r="L575" s="34"/>
      <c r="Q575" s="24">
        <f t="shared" si="27"/>
        <v>2465693.25</v>
      </c>
      <c r="R575" s="33"/>
    </row>
    <row r="576" spans="2:18" ht="12.75">
      <c r="B576" s="75" t="s">
        <v>706</v>
      </c>
      <c r="E576" s="87">
        <v>252387</v>
      </c>
      <c r="F576">
        <v>265573.6</v>
      </c>
      <c r="L576" s="34"/>
      <c r="Q576" s="24">
        <f t="shared" si="27"/>
        <v>517960.6</v>
      </c>
      <c r="R576" s="33">
        <f>F575-F574</f>
        <v>-59290.93999999645</v>
      </c>
    </row>
    <row r="577" spans="2:17" ht="12.75">
      <c r="B577" s="75" t="s">
        <v>598</v>
      </c>
      <c r="E577" s="87">
        <f>E575+E576</f>
        <v>1393363.76</v>
      </c>
      <c r="F577">
        <f aca="true" t="shared" si="30" ref="F577:Q577">F575+F576</f>
        <v>1590290.0899999999</v>
      </c>
      <c r="G577">
        <f t="shared" si="30"/>
        <v>0</v>
      </c>
      <c r="H577">
        <f t="shared" si="30"/>
        <v>0</v>
      </c>
      <c r="I577">
        <f t="shared" si="30"/>
        <v>0</v>
      </c>
      <c r="J577">
        <f t="shared" si="30"/>
        <v>0</v>
      </c>
      <c r="K577">
        <f t="shared" si="30"/>
        <v>0</v>
      </c>
      <c r="L577">
        <f t="shared" si="30"/>
        <v>0</v>
      </c>
      <c r="M577">
        <f t="shared" si="30"/>
        <v>0</v>
      </c>
      <c r="N577">
        <f t="shared" si="30"/>
        <v>0</v>
      </c>
      <c r="O577">
        <f t="shared" si="30"/>
        <v>0</v>
      </c>
      <c r="P577">
        <f t="shared" si="30"/>
        <v>0</v>
      </c>
      <c r="Q577">
        <f t="shared" si="30"/>
        <v>2983653.85</v>
      </c>
    </row>
    <row r="578" spans="2:17" ht="12.75">
      <c r="B578" s="75" t="s">
        <v>707</v>
      </c>
      <c r="E578" s="87">
        <v>78220.55</v>
      </c>
      <c r="K578"/>
      <c r="Q578" s="24">
        <f>E578+F578+G578+H578+I578+J578+K578+L578+M578+N578+O578+P578</f>
        <v>78220.55</v>
      </c>
    </row>
    <row r="579" spans="2:17" ht="12.75">
      <c r="B579" s="75" t="s">
        <v>708</v>
      </c>
      <c r="E579" s="87">
        <f>E577+E578</f>
        <v>1471584.31</v>
      </c>
      <c r="F579">
        <f aca="true" t="shared" si="31" ref="F579:P579">F577+F578</f>
        <v>1590290.0899999999</v>
      </c>
      <c r="G579">
        <f t="shared" si="31"/>
        <v>0</v>
      </c>
      <c r="H579">
        <f t="shared" si="31"/>
        <v>0</v>
      </c>
      <c r="I579">
        <f t="shared" si="31"/>
        <v>0</v>
      </c>
      <c r="J579">
        <f t="shared" si="31"/>
        <v>0</v>
      </c>
      <c r="K579">
        <f t="shared" si="31"/>
        <v>0</v>
      </c>
      <c r="L579">
        <f t="shared" si="31"/>
        <v>0</v>
      </c>
      <c r="M579">
        <f t="shared" si="31"/>
        <v>0</v>
      </c>
      <c r="N579">
        <f t="shared" si="31"/>
        <v>0</v>
      </c>
      <c r="O579">
        <f t="shared" si="31"/>
        <v>0</v>
      </c>
      <c r="P579">
        <f t="shared" si="31"/>
        <v>0</v>
      </c>
      <c r="Q579" s="2">
        <f>Q577+Q578</f>
        <v>3061874.4</v>
      </c>
    </row>
    <row r="580" spans="2:5" ht="12.75">
      <c r="B580" s="34"/>
      <c r="E580" s="87"/>
    </row>
    <row r="581" spans="5:17" ht="12.75">
      <c r="E581" s="87">
        <f>E574-E579</f>
        <v>-14133.079999999376</v>
      </c>
      <c r="F581" s="2">
        <f aca="true" t="shared" si="32" ref="F581:Q581">F577-F574</f>
        <v>206282.6600000034</v>
      </c>
      <c r="G581" s="2">
        <f t="shared" si="32"/>
        <v>-303461.20999999973</v>
      </c>
      <c r="H581" s="2">
        <f t="shared" si="32"/>
        <v>-28581.660000000014</v>
      </c>
      <c r="I581" s="2">
        <f t="shared" si="32"/>
        <v>-522.91</v>
      </c>
      <c r="J581" s="2">
        <f t="shared" si="32"/>
        <v>-523.91</v>
      </c>
      <c r="K581" s="2">
        <f t="shared" si="32"/>
        <v>-524.91</v>
      </c>
      <c r="L581" s="2">
        <f t="shared" si="32"/>
        <v>-525.91</v>
      </c>
      <c r="M581" s="2">
        <f t="shared" si="32"/>
        <v>-526.91</v>
      </c>
      <c r="N581" s="2">
        <f t="shared" si="32"/>
        <v>-527.91</v>
      </c>
      <c r="O581" s="2">
        <f t="shared" si="32"/>
        <v>-528.91</v>
      </c>
      <c r="P581" s="2" t="e">
        <f>P577-P574+#REF!</f>
        <v>#REF!</v>
      </c>
      <c r="Q581" s="2">
        <f t="shared" si="32"/>
        <v>-194058.95999999857</v>
      </c>
    </row>
    <row r="582" spans="2:18" ht="12.75">
      <c r="B582" t="s">
        <v>720</v>
      </c>
      <c r="E582" t="s">
        <v>727</v>
      </c>
      <c r="Q582" t="s">
        <v>721</v>
      </c>
      <c r="R582" s="34" t="s">
        <v>722</v>
      </c>
    </row>
  </sheetData>
  <sheetProtection/>
  <autoFilter ref="A6:Q579"/>
  <printOptions/>
  <pageMargins left="0.1968503937007874" right="0.1968503937007874" top="0.31496062992125984" bottom="0.35433070866141736" header="0.15748031496062992" footer="0.2362204724409449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T579"/>
  <sheetViews>
    <sheetView zoomScale="110" zoomScaleNormal="110" zoomScalePageLayoutView="0" workbookViewId="0" topLeftCell="A5">
      <pane xSplit="2" ySplit="2" topLeftCell="C552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573" sqref="B573"/>
    </sheetView>
  </sheetViews>
  <sheetFormatPr defaultColWidth="9.00390625" defaultRowHeight="12.75"/>
  <cols>
    <col min="1" max="1" width="5.75390625" style="99" customWidth="1"/>
    <col min="2" max="2" width="42.75390625" style="99" customWidth="1"/>
    <col min="3" max="3" width="7.125" style="99" customWidth="1"/>
    <col min="4" max="4" width="8.625" style="99" customWidth="1"/>
    <col min="5" max="5" width="11.75390625" style="99" customWidth="1"/>
    <col min="6" max="6" width="11.875" style="99" customWidth="1"/>
    <col min="7" max="7" width="11.75390625" style="99" customWidth="1"/>
    <col min="8" max="8" width="12.375" style="99" customWidth="1"/>
    <col min="9" max="16" width="9.125" style="99" customWidth="1"/>
    <col min="17" max="17" width="13.625" style="99" customWidth="1"/>
    <col min="18" max="19" width="9.125" style="99" customWidth="1"/>
    <col min="20" max="20" width="11.75390625" style="99" bestFit="1" customWidth="1"/>
    <col min="21" max="16384" width="9.125" style="99" customWidth="1"/>
  </cols>
  <sheetData>
    <row r="1" ht="12.75"/>
    <row r="2" ht="12.75"/>
    <row r="3" ht="12.75">
      <c r="A3" s="98" t="s">
        <v>569</v>
      </c>
    </row>
    <row r="4" ht="13.5" thickBot="1"/>
    <row r="5" spans="1:18" ht="31.5" customHeight="1" thickBot="1">
      <c r="A5" s="100" t="s">
        <v>71</v>
      </c>
      <c r="B5" s="101" t="s">
        <v>734</v>
      </c>
      <c r="C5" s="102" t="s">
        <v>72</v>
      </c>
      <c r="D5" s="103" t="s">
        <v>568</v>
      </c>
      <c r="E5" s="104" t="s">
        <v>569</v>
      </c>
      <c r="F5" s="104" t="s">
        <v>570</v>
      </c>
      <c r="G5" s="105" t="s">
        <v>571</v>
      </c>
      <c r="H5" s="105" t="s">
        <v>572</v>
      </c>
      <c r="I5" s="106" t="s">
        <v>573</v>
      </c>
      <c r="J5" s="106" t="s">
        <v>574</v>
      </c>
      <c r="K5" s="107" t="s">
        <v>575</v>
      </c>
      <c r="L5" s="107" t="s">
        <v>576</v>
      </c>
      <c r="M5" s="107" t="s">
        <v>577</v>
      </c>
      <c r="N5" s="107" t="s">
        <v>578</v>
      </c>
      <c r="O5" s="107" t="s">
        <v>579</v>
      </c>
      <c r="P5" s="107" t="s">
        <v>580</v>
      </c>
      <c r="Q5" s="106" t="s">
        <v>597</v>
      </c>
      <c r="R5" s="108"/>
    </row>
    <row r="6" spans="1:18" ht="15" customHeight="1" thickBot="1">
      <c r="A6" s="109">
        <v>1</v>
      </c>
      <c r="B6" s="101">
        <f aca="true" t="shared" si="0" ref="B6:Q6">A6+1</f>
        <v>2</v>
      </c>
      <c r="C6" s="101">
        <f t="shared" si="0"/>
        <v>3</v>
      </c>
      <c r="D6" s="101">
        <f t="shared" si="0"/>
        <v>4</v>
      </c>
      <c r="E6" s="101">
        <f t="shared" si="0"/>
        <v>5</v>
      </c>
      <c r="F6" s="101">
        <f t="shared" si="0"/>
        <v>6</v>
      </c>
      <c r="G6" s="101">
        <f t="shared" si="0"/>
        <v>7</v>
      </c>
      <c r="H6" s="101">
        <f t="shared" si="0"/>
        <v>8</v>
      </c>
      <c r="I6" s="101">
        <f t="shared" si="0"/>
        <v>9</v>
      </c>
      <c r="J6" s="101">
        <f t="shared" si="0"/>
        <v>10</v>
      </c>
      <c r="K6" s="101">
        <f t="shared" si="0"/>
        <v>11</v>
      </c>
      <c r="L6" s="101">
        <f t="shared" si="0"/>
        <v>12</v>
      </c>
      <c r="M6" s="101">
        <f t="shared" si="0"/>
        <v>13</v>
      </c>
      <c r="N6" s="101">
        <f t="shared" si="0"/>
        <v>14</v>
      </c>
      <c r="O6" s="101">
        <f t="shared" si="0"/>
        <v>15</v>
      </c>
      <c r="P6" s="101">
        <f t="shared" si="0"/>
        <v>16</v>
      </c>
      <c r="Q6" s="101">
        <f t="shared" si="0"/>
        <v>17</v>
      </c>
      <c r="R6" s="108"/>
    </row>
    <row r="7" spans="1:18" ht="12.75">
      <c r="A7" s="110">
        <v>1</v>
      </c>
      <c r="B7" s="111" t="s">
        <v>735</v>
      </c>
      <c r="C7" s="111">
        <v>21602</v>
      </c>
      <c r="D7" s="112">
        <v>2</v>
      </c>
      <c r="E7" s="113">
        <f>ROUND(0.04*521.42,0)*3.53*2</f>
        <v>148.26</v>
      </c>
      <c r="F7" s="114">
        <f>ROUND(0.04*409.08,0)*3.53*2</f>
        <v>112.96</v>
      </c>
      <c r="G7" s="114">
        <f>ROUND(0.04*366.33,0)*3.53*2</f>
        <v>105.89999999999999</v>
      </c>
      <c r="H7" s="114">
        <f>ROUND(0.04*254.17,0)*3.53*2</f>
        <v>70.6</v>
      </c>
      <c r="I7" s="114"/>
      <c r="J7" s="114"/>
      <c r="K7" s="114"/>
      <c r="L7" s="114"/>
      <c r="M7" s="114"/>
      <c r="N7" s="114"/>
      <c r="O7" s="114"/>
      <c r="P7" s="114"/>
      <c r="Q7" s="115">
        <f>E7+F7+G7+H7+I214+J7+K7+L7+M7+N7+O7+P7</f>
        <v>437.7199999999999</v>
      </c>
      <c r="R7" s="108"/>
    </row>
    <row r="8" spans="1:18" ht="12.75">
      <c r="A8" s="116">
        <v>2</v>
      </c>
      <c r="B8" s="111" t="s">
        <v>736</v>
      </c>
      <c r="C8" s="117">
        <v>21600</v>
      </c>
      <c r="D8" s="118">
        <v>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>
        <f aca="true" t="shared" si="1" ref="Q8:Q71">E8+F8+G8+H8+I8+J8+K8+L8+M8+N8+O8+P8</f>
        <v>0</v>
      </c>
      <c r="R8" s="108" t="s">
        <v>737</v>
      </c>
    </row>
    <row r="9" spans="1:18" ht="12.75">
      <c r="A9" s="120">
        <v>3</v>
      </c>
      <c r="B9" s="111" t="s">
        <v>738</v>
      </c>
      <c r="C9" s="111">
        <v>21610</v>
      </c>
      <c r="D9" s="112">
        <v>2</v>
      </c>
      <c r="E9" s="113">
        <f>ROUND(0.04*521.42,0)*3.53*2</f>
        <v>148.26</v>
      </c>
      <c r="F9" s="114">
        <f>ROUND(0.04*409.08,0)*3.53*2</f>
        <v>112.96</v>
      </c>
      <c r="G9" s="114">
        <f>ROUND(0.04*366.33,0)*3.53*2</f>
        <v>105.89999999999999</v>
      </c>
      <c r="H9" s="114">
        <f>ROUND(0.04*254.17,0)*3.53*2</f>
        <v>70.6</v>
      </c>
      <c r="I9" s="114"/>
      <c r="J9" s="114"/>
      <c r="K9" s="114"/>
      <c r="L9" s="114"/>
      <c r="M9" s="114"/>
      <c r="N9" s="114"/>
      <c r="O9" s="114"/>
      <c r="P9" s="114"/>
      <c r="Q9" s="115">
        <f t="shared" si="1"/>
        <v>437.7199999999999</v>
      </c>
      <c r="R9" s="108"/>
    </row>
    <row r="10" spans="1:18" ht="12.75">
      <c r="A10" s="116">
        <v>4</v>
      </c>
      <c r="B10" s="111" t="s">
        <v>633</v>
      </c>
      <c r="C10" s="121">
        <v>21612</v>
      </c>
      <c r="D10" s="122" t="s">
        <v>717</v>
      </c>
      <c r="E10" s="115"/>
      <c r="F10" s="115"/>
      <c r="G10" s="115"/>
      <c r="H10" s="115"/>
      <c r="I10" s="115"/>
      <c r="J10" s="115"/>
      <c r="K10" s="114"/>
      <c r="L10" s="115"/>
      <c r="M10" s="115"/>
      <c r="N10" s="115"/>
      <c r="O10" s="115"/>
      <c r="P10" s="115"/>
      <c r="Q10" s="115">
        <f t="shared" si="1"/>
        <v>0</v>
      </c>
      <c r="R10" s="108" t="s">
        <v>723</v>
      </c>
    </row>
    <row r="11" spans="1:18" ht="12.75">
      <c r="A11" s="120">
        <v>5</v>
      </c>
      <c r="B11" s="111" t="s">
        <v>739</v>
      </c>
      <c r="C11" s="117">
        <v>21606</v>
      </c>
      <c r="D11" s="118">
        <v>0</v>
      </c>
      <c r="E11" s="113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>
        <f t="shared" si="1"/>
        <v>0</v>
      </c>
      <c r="R11" s="108"/>
    </row>
    <row r="12" spans="1:18" ht="12.75">
      <c r="A12" s="116">
        <v>6</v>
      </c>
      <c r="B12" s="111" t="s">
        <v>740</v>
      </c>
      <c r="C12" s="111">
        <v>21607</v>
      </c>
      <c r="D12" s="112">
        <v>2</v>
      </c>
      <c r="E12" s="113">
        <f>ROUND(0.04*521.42,0)*3.53*2</f>
        <v>148.26</v>
      </c>
      <c r="F12" s="114">
        <f>ROUND(0.04*409.08,0)*3.53*2</f>
        <v>112.96</v>
      </c>
      <c r="G12" s="114">
        <f>ROUND(0.04*366.33,0)*3.53*2</f>
        <v>105.89999999999999</v>
      </c>
      <c r="H12" s="114">
        <f>ROUND(0.04*254.17,0)*3.53*2</f>
        <v>70.6</v>
      </c>
      <c r="I12" s="114"/>
      <c r="J12" s="114"/>
      <c r="K12" s="114"/>
      <c r="L12" s="114"/>
      <c r="M12" s="114"/>
      <c r="N12" s="114"/>
      <c r="O12" s="114"/>
      <c r="P12" s="114"/>
      <c r="Q12" s="115">
        <f t="shared" si="1"/>
        <v>437.7199999999999</v>
      </c>
      <c r="R12" s="108"/>
    </row>
    <row r="13" spans="1:18" ht="12.75">
      <c r="A13" s="120">
        <v>7</v>
      </c>
      <c r="B13" s="111" t="s">
        <v>741</v>
      </c>
      <c r="C13" s="111">
        <v>21619</v>
      </c>
      <c r="D13" s="112">
        <v>1</v>
      </c>
      <c r="E13" s="113">
        <f>ROUND(0.04*521.42,0)*3.53</f>
        <v>74.13</v>
      </c>
      <c r="F13" s="114">
        <f>ROUND(0.04*409.08,0)*3.53</f>
        <v>56.48</v>
      </c>
      <c r="G13" s="114">
        <f>ROUND(0.04*366.33,0)*3.53</f>
        <v>52.949999999999996</v>
      </c>
      <c r="H13" s="114">
        <f>ROUND(0.04*254.17,0)*3.53</f>
        <v>35.3</v>
      </c>
      <c r="I13" s="114"/>
      <c r="J13" s="114"/>
      <c r="K13" s="114"/>
      <c r="L13" s="114"/>
      <c r="M13" s="114"/>
      <c r="N13" s="114"/>
      <c r="O13" s="114"/>
      <c r="P13" s="114"/>
      <c r="Q13" s="115">
        <f t="shared" si="1"/>
        <v>218.85999999999996</v>
      </c>
      <c r="R13" s="108"/>
    </row>
    <row r="14" spans="1:18" ht="12.75">
      <c r="A14" s="116">
        <v>8</v>
      </c>
      <c r="B14" s="111" t="s">
        <v>742</v>
      </c>
      <c r="C14" s="111">
        <v>10010</v>
      </c>
      <c r="D14" s="112" t="s">
        <v>584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>
        <f t="shared" si="1"/>
        <v>0</v>
      </c>
      <c r="R14" s="108"/>
    </row>
    <row r="15" spans="1:18" ht="12.75">
      <c r="A15" s="120">
        <v>9</v>
      </c>
      <c r="B15" s="111" t="s">
        <v>743</v>
      </c>
      <c r="C15" s="111">
        <v>12200</v>
      </c>
      <c r="D15" s="122">
        <v>18</v>
      </c>
      <c r="E15" s="113">
        <f>ROUND(0.04*521.42,0)*3.53*18</f>
        <v>1334.34</v>
      </c>
      <c r="F15" s="114">
        <f>ROUND(0.04*409.08,0)*3.53*18</f>
        <v>1016.64</v>
      </c>
      <c r="G15" s="114">
        <f>ROUND(0.04*366.33,0)*3.53*18</f>
        <v>953.0999999999999</v>
      </c>
      <c r="H15" s="114">
        <f>ROUND(0.04*254.17,0)*3.53*18</f>
        <v>635.4</v>
      </c>
      <c r="I15" s="114"/>
      <c r="J15" s="114"/>
      <c r="K15" s="114"/>
      <c r="L15" s="114"/>
      <c r="M15" s="114"/>
      <c r="N15" s="114"/>
      <c r="O15" s="114"/>
      <c r="P15" s="114"/>
      <c r="Q15" s="115">
        <f t="shared" si="1"/>
        <v>3939.48</v>
      </c>
      <c r="R15" s="108"/>
    </row>
    <row r="16" spans="1:18" ht="12.75">
      <c r="A16" s="116">
        <v>10</v>
      </c>
      <c r="B16" s="111" t="s">
        <v>744</v>
      </c>
      <c r="C16" s="121"/>
      <c r="D16" s="123" t="s">
        <v>584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>
        <f t="shared" si="1"/>
        <v>0</v>
      </c>
      <c r="R16" s="108"/>
    </row>
    <row r="17" spans="1:17" ht="12.75">
      <c r="A17" s="120">
        <v>11</v>
      </c>
      <c r="B17" s="111" t="s">
        <v>745</v>
      </c>
      <c r="E17" s="124"/>
      <c r="H17" s="125"/>
      <c r="I17" s="125"/>
      <c r="J17" s="125"/>
      <c r="K17" s="125"/>
      <c r="L17" s="125"/>
      <c r="M17" s="125"/>
      <c r="N17" s="125"/>
      <c r="O17" s="125"/>
      <c r="P17" s="125"/>
      <c r="Q17" s="114">
        <f t="shared" si="1"/>
        <v>0</v>
      </c>
    </row>
    <row r="18" spans="1:18" ht="12.75">
      <c r="A18" s="116">
        <v>12</v>
      </c>
      <c r="B18" s="111" t="s">
        <v>746</v>
      </c>
      <c r="C18" s="111">
        <v>11103</v>
      </c>
      <c r="D18" s="122" t="s">
        <v>619</v>
      </c>
      <c r="E18" s="115">
        <v>107.33</v>
      </c>
      <c r="F18" s="115">
        <v>112.29</v>
      </c>
      <c r="G18" s="115">
        <v>73.92</v>
      </c>
      <c r="H18" s="115">
        <v>83.16</v>
      </c>
      <c r="I18" s="115"/>
      <c r="J18" s="115"/>
      <c r="K18" s="114"/>
      <c r="L18" s="115"/>
      <c r="M18" s="115"/>
      <c r="N18" s="115"/>
      <c r="O18" s="115"/>
      <c r="P18" s="115"/>
      <c r="Q18" s="115">
        <f t="shared" si="1"/>
        <v>376.70000000000005</v>
      </c>
      <c r="R18" s="108"/>
    </row>
    <row r="19" spans="1:18" ht="12.75">
      <c r="A19" s="120">
        <v>13</v>
      </c>
      <c r="B19" s="111" t="s">
        <v>747</v>
      </c>
      <c r="C19" s="111">
        <v>11101</v>
      </c>
      <c r="D19" s="122" t="s">
        <v>585</v>
      </c>
      <c r="E19" s="115">
        <v>1705.57</v>
      </c>
      <c r="F19" s="115">
        <v>1126.47</v>
      </c>
      <c r="G19" s="115">
        <v>1246.79</v>
      </c>
      <c r="H19" s="115">
        <v>1120.98</v>
      </c>
      <c r="I19" s="115"/>
      <c r="J19" s="115"/>
      <c r="K19" s="114"/>
      <c r="L19" s="115"/>
      <c r="M19" s="115"/>
      <c r="N19" s="115"/>
      <c r="O19" s="115"/>
      <c r="P19" s="115"/>
      <c r="Q19" s="115">
        <f t="shared" si="1"/>
        <v>5199.8099999999995</v>
      </c>
      <c r="R19" s="108"/>
    </row>
    <row r="20" spans="1:18" ht="12.75">
      <c r="A20" s="116">
        <v>14</v>
      </c>
      <c r="B20" s="111" t="s">
        <v>748</v>
      </c>
      <c r="C20" s="111">
        <v>11105</v>
      </c>
      <c r="D20" s="122">
        <v>2</v>
      </c>
      <c r="E20" s="113">
        <f>ROUND(0.04*521.42,0)*3.53*2</f>
        <v>148.26</v>
      </c>
      <c r="F20" s="114">
        <f>ROUND(0.04*409.08,0)*3.53*2</f>
        <v>112.96</v>
      </c>
      <c r="G20" s="114">
        <f>ROUND(0.04*366.33,0)*3.53*2</f>
        <v>105.89999999999999</v>
      </c>
      <c r="H20" s="114">
        <f>ROUND(0.04*254.17,0)*3.53*2</f>
        <v>70.6</v>
      </c>
      <c r="I20" s="114"/>
      <c r="J20" s="115"/>
      <c r="K20" s="114"/>
      <c r="L20" s="114"/>
      <c r="M20" s="114"/>
      <c r="N20" s="114"/>
      <c r="O20" s="114"/>
      <c r="P20" s="114"/>
      <c r="Q20" s="115">
        <f t="shared" si="1"/>
        <v>437.7199999999999</v>
      </c>
      <c r="R20" s="108"/>
    </row>
    <row r="21" spans="1:18" ht="12.75" customHeight="1">
      <c r="A21" s="120">
        <v>15</v>
      </c>
      <c r="B21" s="111" t="s">
        <v>85</v>
      </c>
      <c r="C21" s="111">
        <v>32008</v>
      </c>
      <c r="D21" s="122" t="s">
        <v>586</v>
      </c>
      <c r="E21" s="115"/>
      <c r="F21" s="115"/>
      <c r="G21" s="115"/>
      <c r="H21" s="115"/>
      <c r="I21" s="115"/>
      <c r="J21" s="115"/>
      <c r="K21" s="114"/>
      <c r="L21" s="115"/>
      <c r="M21" s="115"/>
      <c r="N21" s="115"/>
      <c r="O21" s="115"/>
      <c r="P21" s="115"/>
      <c r="Q21" s="115">
        <f t="shared" si="1"/>
        <v>0</v>
      </c>
      <c r="R21" s="108"/>
    </row>
    <row r="22" spans="1:18" ht="14.25" customHeight="1">
      <c r="A22" s="116">
        <v>16</v>
      </c>
      <c r="B22" s="111" t="s">
        <v>86</v>
      </c>
      <c r="C22" s="111">
        <v>11113</v>
      </c>
      <c r="D22" s="126" t="s">
        <v>583</v>
      </c>
      <c r="E22" s="115">
        <v>85284.8</v>
      </c>
      <c r="F22" s="115">
        <v>91497.6</v>
      </c>
      <c r="G22" s="115">
        <v>66787.59999999999</v>
      </c>
      <c r="H22" s="115">
        <v>67211.2</v>
      </c>
      <c r="I22" s="115"/>
      <c r="J22" s="115"/>
      <c r="K22" s="114"/>
      <c r="L22" s="115"/>
      <c r="M22" s="115"/>
      <c r="N22" s="115"/>
      <c r="O22" s="115"/>
      <c r="P22" s="115"/>
      <c r="Q22" s="115">
        <f t="shared" si="1"/>
        <v>310781.2</v>
      </c>
      <c r="R22" s="108"/>
    </row>
    <row r="23" spans="1:18" ht="12.75">
      <c r="A23" s="120">
        <v>17</v>
      </c>
      <c r="B23" s="111" t="s">
        <v>87</v>
      </c>
      <c r="C23" s="111">
        <v>11114</v>
      </c>
      <c r="D23" s="126" t="s">
        <v>583</v>
      </c>
      <c r="E23" s="115">
        <v>78260.1</v>
      </c>
      <c r="F23" s="115">
        <v>87367.5</v>
      </c>
      <c r="G23" s="115">
        <v>64916.7</v>
      </c>
      <c r="H23" s="115">
        <v>66399.3</v>
      </c>
      <c r="I23" s="115"/>
      <c r="J23" s="115"/>
      <c r="K23" s="114"/>
      <c r="L23" s="115"/>
      <c r="M23" s="115"/>
      <c r="N23" s="115"/>
      <c r="O23" s="115"/>
      <c r="P23" s="115"/>
      <c r="Q23" s="115">
        <f t="shared" si="1"/>
        <v>296943.6</v>
      </c>
      <c r="R23" s="108"/>
    </row>
    <row r="24" spans="1:18" ht="12.75">
      <c r="A24" s="116">
        <v>18</v>
      </c>
      <c r="B24" s="111" t="s">
        <v>88</v>
      </c>
      <c r="C24" s="111">
        <v>11111</v>
      </c>
      <c r="D24" s="126" t="s">
        <v>583</v>
      </c>
      <c r="E24" s="115">
        <v>88744.2</v>
      </c>
      <c r="F24" s="115">
        <v>100710.9</v>
      </c>
      <c r="G24" s="115">
        <v>75083.09999999999</v>
      </c>
      <c r="H24" s="115">
        <v>73706.4</v>
      </c>
      <c r="I24" s="115"/>
      <c r="J24" s="115"/>
      <c r="K24" s="114"/>
      <c r="L24" s="115"/>
      <c r="M24" s="115"/>
      <c r="N24" s="115"/>
      <c r="O24" s="115"/>
      <c r="P24" s="115"/>
      <c r="Q24" s="115">
        <f t="shared" si="1"/>
        <v>338244.6</v>
      </c>
      <c r="R24" s="108"/>
    </row>
    <row r="25" spans="1:18" ht="12.75">
      <c r="A25" s="120">
        <v>19</v>
      </c>
      <c r="B25" s="111" t="s">
        <v>89</v>
      </c>
      <c r="C25" s="111">
        <v>11112</v>
      </c>
      <c r="D25" s="126" t="s">
        <v>583</v>
      </c>
      <c r="E25" s="115">
        <v>93192</v>
      </c>
      <c r="F25" s="115">
        <v>102405.3</v>
      </c>
      <c r="G25" s="115">
        <v>76883.4</v>
      </c>
      <c r="H25" s="115">
        <v>74659.5</v>
      </c>
      <c r="I25" s="115"/>
      <c r="J25" s="115"/>
      <c r="K25" s="114"/>
      <c r="L25" s="115"/>
      <c r="M25" s="115"/>
      <c r="N25" s="115"/>
      <c r="O25" s="115"/>
      <c r="P25" s="115"/>
      <c r="Q25" s="115">
        <f t="shared" si="1"/>
        <v>347140.19999999995</v>
      </c>
      <c r="R25" s="108"/>
    </row>
    <row r="26" spans="1:18" ht="12.75">
      <c r="A26" s="116">
        <v>20</v>
      </c>
      <c r="B26" s="111" t="s">
        <v>749</v>
      </c>
      <c r="C26" s="111">
        <v>21629</v>
      </c>
      <c r="D26" s="122">
        <v>2</v>
      </c>
      <c r="E26" s="113">
        <f>ROUND(0.04*521.42,0)*3.53*2</f>
        <v>148.26</v>
      </c>
      <c r="F26" s="114">
        <f>ROUND(0.04*409.08,0)*3.53*2</f>
        <v>112.96</v>
      </c>
      <c r="G26" s="114">
        <f>ROUND(0.04*366.33,0)*3.53*2</f>
        <v>105.89999999999999</v>
      </c>
      <c r="H26" s="114">
        <f>ROUND(0.04*254.17,0)*3.53*2</f>
        <v>70.6</v>
      </c>
      <c r="I26" s="114"/>
      <c r="J26" s="115"/>
      <c r="K26" s="114"/>
      <c r="L26" s="114"/>
      <c r="M26" s="114"/>
      <c r="N26" s="114"/>
      <c r="O26" s="114"/>
      <c r="P26" s="114"/>
      <c r="Q26" s="115">
        <f t="shared" si="1"/>
        <v>437.7199999999999</v>
      </c>
      <c r="R26" s="108"/>
    </row>
    <row r="27" spans="1:18" ht="12.75">
      <c r="A27" s="120">
        <v>21</v>
      </c>
      <c r="B27" s="111" t="s">
        <v>750</v>
      </c>
      <c r="C27" s="111">
        <v>21625</v>
      </c>
      <c r="D27" s="122">
        <v>2</v>
      </c>
      <c r="E27" s="113">
        <f>ROUND(0.04*521.42,0)*3.53*2</f>
        <v>148.26</v>
      </c>
      <c r="F27" s="114">
        <f>ROUND(0.04*409.08,0)*3.53*2</f>
        <v>112.96</v>
      </c>
      <c r="G27" s="114">
        <f>ROUND(0.04*366.33,0)*3.53*2</f>
        <v>105.89999999999999</v>
      </c>
      <c r="H27" s="114">
        <f>ROUND(0.04*254.17,0)*3.53*2</f>
        <v>70.6</v>
      </c>
      <c r="I27" s="114"/>
      <c r="J27" s="115"/>
      <c r="K27" s="114"/>
      <c r="L27" s="114"/>
      <c r="M27" s="114"/>
      <c r="N27" s="114"/>
      <c r="O27" s="114"/>
      <c r="P27" s="114"/>
      <c r="Q27" s="115">
        <f t="shared" si="1"/>
        <v>437.7199999999999</v>
      </c>
      <c r="R27" s="108"/>
    </row>
    <row r="28" spans="1:18" ht="12.75">
      <c r="A28" s="116">
        <v>22</v>
      </c>
      <c r="B28" s="111" t="s">
        <v>634</v>
      </c>
      <c r="C28" s="111">
        <v>21837</v>
      </c>
      <c r="D28" s="122">
        <v>0</v>
      </c>
      <c r="E28" s="115">
        <v>0</v>
      </c>
      <c r="F28" s="115">
        <v>0</v>
      </c>
      <c r="G28" s="115">
        <v>0</v>
      </c>
      <c r="H28" s="115">
        <v>0</v>
      </c>
      <c r="I28" s="115"/>
      <c r="J28" s="115"/>
      <c r="K28" s="114"/>
      <c r="L28" s="115"/>
      <c r="M28" s="115"/>
      <c r="N28" s="115"/>
      <c r="O28" s="115"/>
      <c r="P28" s="115"/>
      <c r="Q28" s="115">
        <f t="shared" si="1"/>
        <v>0</v>
      </c>
      <c r="R28" s="108"/>
    </row>
    <row r="29" spans="1:18" ht="12.75">
      <c r="A29" s="120">
        <v>23</v>
      </c>
      <c r="B29" s="111" t="s">
        <v>751</v>
      </c>
      <c r="C29" s="111">
        <v>21839</v>
      </c>
      <c r="D29" s="122">
        <v>0</v>
      </c>
      <c r="E29" s="113"/>
      <c r="F29" s="115"/>
      <c r="G29" s="115"/>
      <c r="H29" s="115"/>
      <c r="I29" s="115"/>
      <c r="J29" s="115"/>
      <c r="K29" s="114"/>
      <c r="L29" s="115"/>
      <c r="M29" s="115"/>
      <c r="N29" s="115"/>
      <c r="O29" s="115"/>
      <c r="P29" s="115"/>
      <c r="Q29" s="115">
        <f t="shared" si="1"/>
        <v>0</v>
      </c>
      <c r="R29" s="108"/>
    </row>
    <row r="30" spans="1:18" ht="12.75">
      <c r="A30" s="116">
        <v>24</v>
      </c>
      <c r="B30" s="111" t="s">
        <v>752</v>
      </c>
      <c r="C30" s="111">
        <v>12328</v>
      </c>
      <c r="D30" s="122" t="s">
        <v>585</v>
      </c>
      <c r="E30" s="115">
        <v>1645.17</v>
      </c>
      <c r="F30" s="115">
        <v>1252.23</v>
      </c>
      <c r="G30" s="115">
        <v>1015.59</v>
      </c>
      <c r="H30" s="115">
        <v>1304.8</v>
      </c>
      <c r="I30" s="115"/>
      <c r="J30" s="115"/>
      <c r="K30" s="114"/>
      <c r="L30" s="115"/>
      <c r="M30" s="115"/>
      <c r="N30" s="115"/>
      <c r="O30" s="115"/>
      <c r="P30" s="115"/>
      <c r="Q30" s="115">
        <f t="shared" si="1"/>
        <v>5217.79</v>
      </c>
      <c r="R30" s="108"/>
    </row>
    <row r="31" spans="1:18" ht="12.75">
      <c r="A31" s="120">
        <v>25</v>
      </c>
      <c r="B31" s="111" t="s">
        <v>635</v>
      </c>
      <c r="C31" s="121">
        <v>21821</v>
      </c>
      <c r="D31" s="122" t="s">
        <v>717</v>
      </c>
      <c r="E31" s="115">
        <v>0</v>
      </c>
      <c r="F31" s="115">
        <v>0</v>
      </c>
      <c r="G31" s="115">
        <v>0</v>
      </c>
      <c r="H31" s="115">
        <v>0</v>
      </c>
      <c r="I31" s="115"/>
      <c r="J31" s="115"/>
      <c r="K31" s="114"/>
      <c r="L31" s="115"/>
      <c r="M31" s="115"/>
      <c r="N31" s="115"/>
      <c r="O31" s="115"/>
      <c r="P31" s="127"/>
      <c r="Q31" s="115">
        <f t="shared" si="1"/>
        <v>0</v>
      </c>
      <c r="R31" s="108" t="s">
        <v>723</v>
      </c>
    </row>
    <row r="32" spans="1:18" ht="12.75">
      <c r="A32" s="116">
        <v>26</v>
      </c>
      <c r="B32" s="111" t="s">
        <v>636</v>
      </c>
      <c r="C32" s="121">
        <v>21872</v>
      </c>
      <c r="D32" s="122" t="s">
        <v>717</v>
      </c>
      <c r="E32" s="115">
        <v>0</v>
      </c>
      <c r="F32" s="115">
        <v>0</v>
      </c>
      <c r="G32" s="115">
        <v>0</v>
      </c>
      <c r="H32" s="115">
        <v>0</v>
      </c>
      <c r="I32" s="115"/>
      <c r="J32" s="115"/>
      <c r="K32" s="114"/>
      <c r="L32" s="115"/>
      <c r="M32" s="115"/>
      <c r="N32" s="115"/>
      <c r="O32" s="115"/>
      <c r="P32" s="127"/>
      <c r="Q32" s="115">
        <f t="shared" si="1"/>
        <v>0</v>
      </c>
      <c r="R32" s="108" t="s">
        <v>723</v>
      </c>
    </row>
    <row r="33" spans="1:18" ht="12.75">
      <c r="A33" s="120">
        <v>27</v>
      </c>
      <c r="B33" s="111" t="s">
        <v>94</v>
      </c>
      <c r="C33" s="117">
        <v>21873</v>
      </c>
      <c r="D33" s="122">
        <v>2</v>
      </c>
      <c r="E33" s="113">
        <f>ROUND(0.04*521.42,0)*3.53*2</f>
        <v>148.26</v>
      </c>
      <c r="F33" s="114">
        <f>ROUND(0.04*409.08,0)*3.53*2</f>
        <v>112.96</v>
      </c>
      <c r="G33" s="114">
        <f>ROUND(0.04*366.33,0)*3.53*2</f>
        <v>105.89999999999999</v>
      </c>
      <c r="H33" s="114">
        <f>ROUND(0.04*254.17,0)*3.53*2</f>
        <v>70.6</v>
      </c>
      <c r="I33" s="114"/>
      <c r="J33" s="115"/>
      <c r="K33" s="114"/>
      <c r="L33" s="114"/>
      <c r="M33" s="114"/>
      <c r="N33" s="114"/>
      <c r="O33" s="114"/>
      <c r="P33" s="114"/>
      <c r="Q33" s="115">
        <f t="shared" si="1"/>
        <v>437.7199999999999</v>
      </c>
      <c r="R33" s="108"/>
    </row>
    <row r="34" spans="1:17" ht="12.75">
      <c r="A34" s="116">
        <v>28</v>
      </c>
      <c r="B34" s="111" t="s">
        <v>753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15">
        <f t="shared" si="1"/>
        <v>0</v>
      </c>
    </row>
    <row r="35" spans="1:18" ht="12.75">
      <c r="A35" s="120">
        <v>29</v>
      </c>
      <c r="B35" s="111" t="s">
        <v>754</v>
      </c>
      <c r="C35" s="111">
        <v>21868</v>
      </c>
      <c r="D35" s="122" t="s">
        <v>585</v>
      </c>
      <c r="E35" s="115">
        <v>806.8</v>
      </c>
      <c r="F35" s="115">
        <v>766.29</v>
      </c>
      <c r="G35" s="115">
        <v>1170.9099999999999</v>
      </c>
      <c r="H35" s="115">
        <v>713.92</v>
      </c>
      <c r="I35" s="115"/>
      <c r="J35" s="115"/>
      <c r="K35" s="114"/>
      <c r="L35" s="115"/>
      <c r="M35" s="115"/>
      <c r="N35" s="115"/>
      <c r="O35" s="115"/>
      <c r="P35" s="115"/>
      <c r="Q35" s="115">
        <f t="shared" si="1"/>
        <v>3457.92</v>
      </c>
      <c r="R35" s="108"/>
    </row>
    <row r="36" spans="1:18" ht="12.75">
      <c r="A36" s="116">
        <v>30</v>
      </c>
      <c r="B36" s="111" t="s">
        <v>755</v>
      </c>
      <c r="C36" s="111">
        <v>21869</v>
      </c>
      <c r="D36" s="122" t="s">
        <v>585</v>
      </c>
      <c r="E36" s="115">
        <v>669.56</v>
      </c>
      <c r="F36" s="115">
        <v>653.9</v>
      </c>
      <c r="G36" s="115">
        <v>816.7199999999999</v>
      </c>
      <c r="H36" s="115">
        <v>1100.74</v>
      </c>
      <c r="I36" s="115"/>
      <c r="J36" s="115"/>
      <c r="K36" s="114"/>
      <c r="L36" s="115"/>
      <c r="M36" s="115"/>
      <c r="N36" s="115"/>
      <c r="O36" s="115"/>
      <c r="P36" s="115"/>
      <c r="Q36" s="115">
        <f t="shared" si="1"/>
        <v>3240.92</v>
      </c>
      <c r="R36" s="108"/>
    </row>
    <row r="37" spans="1:18" ht="12.75">
      <c r="A37" s="120">
        <v>31</v>
      </c>
      <c r="B37" s="111" t="s">
        <v>756</v>
      </c>
      <c r="C37" s="111">
        <v>21870</v>
      </c>
      <c r="D37" s="122" t="s">
        <v>585</v>
      </c>
      <c r="E37" s="115">
        <v>560.87</v>
      </c>
      <c r="F37" s="115">
        <v>541.66</v>
      </c>
      <c r="G37" s="115">
        <v>1090.52</v>
      </c>
      <c r="H37" s="115">
        <v>602.89</v>
      </c>
      <c r="I37" s="115"/>
      <c r="J37" s="115"/>
      <c r="K37" s="114"/>
      <c r="L37" s="115"/>
      <c r="M37" s="115"/>
      <c r="N37" s="115"/>
      <c r="O37" s="115"/>
      <c r="P37" s="115"/>
      <c r="Q37" s="115">
        <f t="shared" si="1"/>
        <v>2795.94</v>
      </c>
      <c r="R37" s="108"/>
    </row>
    <row r="38" spans="1:18" ht="12.75">
      <c r="A38" s="116">
        <v>32</v>
      </c>
      <c r="B38" s="111" t="s">
        <v>600</v>
      </c>
      <c r="C38" s="117"/>
      <c r="D38" s="12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>
        <f t="shared" si="1"/>
        <v>0</v>
      </c>
      <c r="R38" s="108"/>
    </row>
    <row r="39" spans="1:18" ht="12.75">
      <c r="A39" s="120">
        <v>33</v>
      </c>
      <c r="B39" s="111" t="s">
        <v>757</v>
      </c>
      <c r="C39" s="111">
        <v>23639</v>
      </c>
      <c r="D39" s="122">
        <v>1</v>
      </c>
      <c r="E39" s="114">
        <f>ROUND(0.04*521.42,0)*3.53</f>
        <v>74.13</v>
      </c>
      <c r="F39" s="114">
        <f>ROUND(0.04*409.08,0)*3.53</f>
        <v>56.48</v>
      </c>
      <c r="G39" s="114">
        <f>ROUND(0.04*366.33,0)*3.53</f>
        <v>52.949999999999996</v>
      </c>
      <c r="H39" s="114">
        <f>ROUND(0.04*254.17,0)*3.53</f>
        <v>35.3</v>
      </c>
      <c r="I39" s="115"/>
      <c r="J39" s="115"/>
      <c r="K39" s="114"/>
      <c r="L39" s="114"/>
      <c r="M39" s="114"/>
      <c r="N39" s="114"/>
      <c r="O39" s="114"/>
      <c r="P39" s="114"/>
      <c r="Q39" s="115">
        <f t="shared" si="1"/>
        <v>218.85999999999996</v>
      </c>
      <c r="R39" s="108"/>
    </row>
    <row r="40" spans="1:18" ht="12.75">
      <c r="A40" s="116">
        <v>34</v>
      </c>
      <c r="B40" s="111" t="s">
        <v>637</v>
      </c>
      <c r="C40" s="121">
        <v>23641</v>
      </c>
      <c r="D40" s="122" t="s">
        <v>717</v>
      </c>
      <c r="E40" s="115">
        <v>0</v>
      </c>
      <c r="F40" s="115">
        <v>0</v>
      </c>
      <c r="G40" s="115">
        <v>0</v>
      </c>
      <c r="H40" s="115">
        <v>0</v>
      </c>
      <c r="I40" s="115"/>
      <c r="J40" s="115"/>
      <c r="K40" s="114"/>
      <c r="L40" s="115"/>
      <c r="M40" s="115"/>
      <c r="N40" s="115"/>
      <c r="O40" s="115"/>
      <c r="P40" s="115"/>
      <c r="Q40" s="115">
        <f t="shared" si="1"/>
        <v>0</v>
      </c>
      <c r="R40" s="108" t="s">
        <v>723</v>
      </c>
    </row>
    <row r="41" spans="1:18" ht="12.75">
      <c r="A41" s="120">
        <v>35</v>
      </c>
      <c r="B41" s="111" t="s">
        <v>758</v>
      </c>
      <c r="C41" s="111">
        <v>11311</v>
      </c>
      <c r="D41" s="122" t="s">
        <v>585</v>
      </c>
      <c r="E41" s="115">
        <v>1542.07</v>
      </c>
      <c r="F41" s="115">
        <v>1677.52</v>
      </c>
      <c r="G41" s="115">
        <v>916.14</v>
      </c>
      <c r="H41" s="115">
        <v>924.17</v>
      </c>
      <c r="I41" s="115"/>
      <c r="J41" s="115"/>
      <c r="K41" s="114"/>
      <c r="L41" s="115"/>
      <c r="M41" s="115"/>
      <c r="N41" s="115"/>
      <c r="O41" s="115"/>
      <c r="P41" s="115"/>
      <c r="Q41" s="115">
        <f t="shared" si="1"/>
        <v>5059.900000000001</v>
      </c>
      <c r="R41" s="108"/>
    </row>
    <row r="42" spans="1:18" ht="12.75">
      <c r="A42" s="116">
        <v>36</v>
      </c>
      <c r="B42" s="111" t="s">
        <v>759</v>
      </c>
      <c r="C42" s="111">
        <v>11313</v>
      </c>
      <c r="D42" s="122" t="s">
        <v>585</v>
      </c>
      <c r="E42" s="115">
        <v>1401.28</v>
      </c>
      <c r="F42" s="115">
        <v>1776.09</v>
      </c>
      <c r="G42" s="115">
        <v>947.21</v>
      </c>
      <c r="H42" s="115">
        <v>698.56</v>
      </c>
      <c r="I42" s="115"/>
      <c r="J42" s="115"/>
      <c r="K42" s="114"/>
      <c r="L42" s="115"/>
      <c r="M42" s="115"/>
      <c r="N42" s="115"/>
      <c r="O42" s="115"/>
      <c r="P42" s="115"/>
      <c r="Q42" s="115">
        <f t="shared" si="1"/>
        <v>4823.139999999999</v>
      </c>
      <c r="R42" s="108"/>
    </row>
    <row r="43" spans="1:18" ht="12.75">
      <c r="A43" s="120">
        <v>37</v>
      </c>
      <c r="B43" s="111" t="s">
        <v>760</v>
      </c>
      <c r="C43" s="111">
        <v>11315</v>
      </c>
      <c r="D43" s="129" t="s">
        <v>588</v>
      </c>
      <c r="E43" s="115">
        <v>2973.19</v>
      </c>
      <c r="F43" s="115">
        <v>3180.85</v>
      </c>
      <c r="G43" s="115">
        <v>2471.51</v>
      </c>
      <c r="H43" s="115">
        <v>2635.54</v>
      </c>
      <c r="I43" s="115"/>
      <c r="J43" s="115"/>
      <c r="K43" s="114"/>
      <c r="L43" s="115"/>
      <c r="M43" s="115"/>
      <c r="N43" s="115"/>
      <c r="O43" s="115"/>
      <c r="P43" s="115"/>
      <c r="Q43" s="115">
        <f t="shared" si="1"/>
        <v>11261.09</v>
      </c>
      <c r="R43" s="108"/>
    </row>
    <row r="44" spans="1:18" ht="12.75">
      <c r="A44" s="116">
        <v>38</v>
      </c>
      <c r="B44" s="111" t="s">
        <v>761</v>
      </c>
      <c r="C44" s="111">
        <v>11116</v>
      </c>
      <c r="D44" s="129" t="s">
        <v>588</v>
      </c>
      <c r="E44" s="115">
        <v>2441.1</v>
      </c>
      <c r="F44" s="115">
        <v>2667.14</v>
      </c>
      <c r="G44" s="115">
        <v>2029.1</v>
      </c>
      <c r="H44" s="115">
        <v>2295.55</v>
      </c>
      <c r="I44" s="115"/>
      <c r="J44" s="115"/>
      <c r="K44" s="114"/>
      <c r="L44" s="115"/>
      <c r="M44" s="115"/>
      <c r="N44" s="115"/>
      <c r="O44" s="115"/>
      <c r="P44" s="115"/>
      <c r="Q44" s="115">
        <f t="shared" si="1"/>
        <v>9432.89</v>
      </c>
      <c r="R44" s="108"/>
    </row>
    <row r="45" spans="1:18" ht="12.75">
      <c r="A45" s="120">
        <v>39</v>
      </c>
      <c r="B45" s="111" t="s">
        <v>762</v>
      </c>
      <c r="C45" s="111">
        <v>11317</v>
      </c>
      <c r="D45" s="122" t="s">
        <v>585</v>
      </c>
      <c r="E45" s="115">
        <v>547.35</v>
      </c>
      <c r="F45" s="115">
        <v>539.57</v>
      </c>
      <c r="G45" s="115">
        <v>570.16</v>
      </c>
      <c r="H45" s="115">
        <v>533.93</v>
      </c>
      <c r="I45" s="115"/>
      <c r="J45" s="115"/>
      <c r="K45" s="114"/>
      <c r="L45" s="115"/>
      <c r="M45" s="115"/>
      <c r="N45" s="115"/>
      <c r="O45" s="115"/>
      <c r="P45" s="115"/>
      <c r="Q45" s="115">
        <f t="shared" si="1"/>
        <v>2191.0099999999998</v>
      </c>
      <c r="R45" s="108"/>
    </row>
    <row r="46" spans="1:18" ht="12.75">
      <c r="A46" s="116">
        <v>40</v>
      </c>
      <c r="B46" s="111" t="s">
        <v>763</v>
      </c>
      <c r="C46" s="111">
        <v>11319</v>
      </c>
      <c r="D46" s="122" t="s">
        <v>585</v>
      </c>
      <c r="E46" s="115">
        <v>680.99</v>
      </c>
      <c r="F46" s="115">
        <v>1106.76</v>
      </c>
      <c r="G46" s="115">
        <v>736.48</v>
      </c>
      <c r="H46" s="115">
        <v>641.94</v>
      </c>
      <c r="I46" s="115"/>
      <c r="J46" s="115"/>
      <c r="K46" s="114"/>
      <c r="L46" s="115"/>
      <c r="M46" s="115"/>
      <c r="N46" s="115"/>
      <c r="O46" s="115"/>
      <c r="P46" s="115"/>
      <c r="Q46" s="115">
        <f t="shared" si="1"/>
        <v>3166.17</v>
      </c>
      <c r="R46" s="108"/>
    </row>
    <row r="47" spans="1:18" ht="12.75">
      <c r="A47" s="120">
        <v>41</v>
      </c>
      <c r="B47" s="111" t="s">
        <v>764</v>
      </c>
      <c r="C47" s="111">
        <v>11120</v>
      </c>
      <c r="D47" s="122" t="s">
        <v>585</v>
      </c>
      <c r="E47" s="115">
        <v>1642.3</v>
      </c>
      <c r="F47" s="115">
        <v>1928.16</v>
      </c>
      <c r="G47" s="115">
        <v>1629.66</v>
      </c>
      <c r="H47" s="115">
        <v>1221.01</v>
      </c>
      <c r="I47" s="115"/>
      <c r="J47" s="115"/>
      <c r="K47" s="114"/>
      <c r="L47" s="115"/>
      <c r="M47" s="115"/>
      <c r="N47" s="115"/>
      <c r="O47" s="115"/>
      <c r="P47" s="115"/>
      <c r="Q47" s="115">
        <f t="shared" si="1"/>
        <v>6421.13</v>
      </c>
      <c r="R47" s="108"/>
    </row>
    <row r="48" spans="1:18" ht="12.75">
      <c r="A48" s="116">
        <v>42</v>
      </c>
      <c r="B48" s="111" t="s">
        <v>765</v>
      </c>
      <c r="C48" s="111">
        <v>11321</v>
      </c>
      <c r="D48" s="122" t="s">
        <v>585</v>
      </c>
      <c r="E48" s="115">
        <v>1801.37</v>
      </c>
      <c r="F48" s="115">
        <v>1746.18</v>
      </c>
      <c r="G48" s="115">
        <v>1284.91</v>
      </c>
      <c r="H48" s="115">
        <v>1291.48</v>
      </c>
      <c r="I48" s="115"/>
      <c r="J48" s="115"/>
      <c r="K48" s="114"/>
      <c r="L48" s="115"/>
      <c r="M48" s="115"/>
      <c r="N48" s="115"/>
      <c r="O48" s="115"/>
      <c r="P48" s="115"/>
      <c r="Q48" s="115">
        <f t="shared" si="1"/>
        <v>6123.9400000000005</v>
      </c>
      <c r="R48" s="108"/>
    </row>
    <row r="49" spans="1:18" ht="12.75">
      <c r="A49" s="120">
        <v>43</v>
      </c>
      <c r="B49" s="111" t="s">
        <v>766</v>
      </c>
      <c r="C49" s="111">
        <v>11122</v>
      </c>
      <c r="D49" s="122" t="s">
        <v>585</v>
      </c>
      <c r="E49" s="115">
        <v>2435.7</v>
      </c>
      <c r="F49" s="115">
        <v>2436.7</v>
      </c>
      <c r="G49" s="115">
        <v>0</v>
      </c>
      <c r="H49" s="115">
        <v>0</v>
      </c>
      <c r="I49" s="115"/>
      <c r="J49" s="115"/>
      <c r="K49" s="114"/>
      <c r="L49" s="115"/>
      <c r="M49" s="115"/>
      <c r="N49" s="115"/>
      <c r="O49" s="115"/>
      <c r="P49" s="115"/>
      <c r="Q49" s="115">
        <f t="shared" si="1"/>
        <v>4872.4</v>
      </c>
      <c r="R49" s="108"/>
    </row>
    <row r="50" spans="1:18" ht="12.75">
      <c r="A50" s="116">
        <v>44</v>
      </c>
      <c r="B50" s="111" t="s">
        <v>767</v>
      </c>
      <c r="C50" s="111">
        <v>11323</v>
      </c>
      <c r="D50" s="130" t="s">
        <v>768</v>
      </c>
      <c r="E50" s="131">
        <f>135.3*2.83*3.53</f>
        <v>1351.6334700000002</v>
      </c>
      <c r="F50" s="131">
        <f>135.3*2.83*3.53</f>
        <v>1351.6334700000002</v>
      </c>
      <c r="G50" s="131">
        <f>135.3*2.83*3.53</f>
        <v>1351.6334700000002</v>
      </c>
      <c r="H50" s="131">
        <f>135.3*2.83*3.53</f>
        <v>1351.6334700000002</v>
      </c>
      <c r="I50" s="115"/>
      <c r="J50" s="115"/>
      <c r="K50" s="114"/>
      <c r="L50" s="114"/>
      <c r="M50" s="114"/>
      <c r="N50" s="114"/>
      <c r="O50" s="114"/>
      <c r="P50" s="114"/>
      <c r="Q50" s="115">
        <f t="shared" si="1"/>
        <v>5406.533880000001</v>
      </c>
      <c r="R50" s="108"/>
    </row>
    <row r="51" spans="1:18" ht="12.75">
      <c r="A51" s="120">
        <v>45</v>
      </c>
      <c r="B51" s="111" t="s">
        <v>769</v>
      </c>
      <c r="C51" s="111">
        <v>11325</v>
      </c>
      <c r="D51" s="122" t="s">
        <v>585</v>
      </c>
      <c r="E51" s="115">
        <v>346.94</v>
      </c>
      <c r="F51" s="115">
        <v>349.13</v>
      </c>
      <c r="G51" s="115">
        <v>354.09</v>
      </c>
      <c r="H51" s="115">
        <v>932.66</v>
      </c>
      <c r="I51" s="115"/>
      <c r="J51" s="115"/>
      <c r="K51" s="114"/>
      <c r="L51" s="115"/>
      <c r="M51" s="115"/>
      <c r="N51" s="115"/>
      <c r="O51" s="115"/>
      <c r="P51" s="115"/>
      <c r="Q51" s="115">
        <f t="shared" si="1"/>
        <v>1982.8199999999997</v>
      </c>
      <c r="R51" s="108"/>
    </row>
    <row r="52" spans="1:18" ht="12.75">
      <c r="A52" s="116">
        <v>46</v>
      </c>
      <c r="B52" s="111" t="s">
        <v>770</v>
      </c>
      <c r="C52" s="111">
        <v>11327</v>
      </c>
      <c r="D52" s="122" t="s">
        <v>585</v>
      </c>
      <c r="E52" s="115">
        <v>358.27</v>
      </c>
      <c r="F52" s="115">
        <v>435.06</v>
      </c>
      <c r="G52" s="115">
        <v>376.12</v>
      </c>
      <c r="H52" s="115">
        <v>331.38</v>
      </c>
      <c r="I52" s="115"/>
      <c r="J52" s="115"/>
      <c r="K52" s="114"/>
      <c r="L52" s="115"/>
      <c r="M52" s="115"/>
      <c r="N52" s="115"/>
      <c r="O52" s="115"/>
      <c r="P52" s="115"/>
      <c r="Q52" s="115">
        <f t="shared" si="1"/>
        <v>1500.83</v>
      </c>
      <c r="R52" s="108"/>
    </row>
    <row r="53" spans="1:18" ht="12.75">
      <c r="A53" s="120">
        <v>47</v>
      </c>
      <c r="B53" s="111" t="s">
        <v>771</v>
      </c>
      <c r="C53" s="111">
        <v>11128</v>
      </c>
      <c r="D53" s="122" t="s">
        <v>585</v>
      </c>
      <c r="E53" s="115">
        <v>498.23</v>
      </c>
      <c r="F53" s="115">
        <v>557.95</v>
      </c>
      <c r="G53" s="115">
        <v>438.56</v>
      </c>
      <c r="H53" s="115">
        <v>518.9</v>
      </c>
      <c r="I53" s="115"/>
      <c r="J53" s="115"/>
      <c r="K53" s="114"/>
      <c r="L53" s="115"/>
      <c r="M53" s="115"/>
      <c r="N53" s="115"/>
      <c r="O53" s="115"/>
      <c r="P53" s="115"/>
      <c r="Q53" s="115">
        <f t="shared" si="1"/>
        <v>2013.6399999999999</v>
      </c>
      <c r="R53" s="108"/>
    </row>
    <row r="54" spans="1:18" ht="12.75">
      <c r="A54" s="116">
        <v>48</v>
      </c>
      <c r="B54" s="111" t="s">
        <v>772</v>
      </c>
      <c r="C54" s="111">
        <v>11329</v>
      </c>
      <c r="D54" s="122" t="s">
        <v>585</v>
      </c>
      <c r="E54" s="115">
        <v>580.81</v>
      </c>
      <c r="F54" s="115">
        <v>548.86</v>
      </c>
      <c r="G54" s="115">
        <v>482.81999999999994</v>
      </c>
      <c r="H54" s="115">
        <v>431.81</v>
      </c>
      <c r="I54" s="115"/>
      <c r="J54" s="115"/>
      <c r="K54" s="114"/>
      <c r="L54" s="115"/>
      <c r="M54" s="115"/>
      <c r="N54" s="115"/>
      <c r="O54" s="115"/>
      <c r="P54" s="115"/>
      <c r="Q54" s="115">
        <f t="shared" si="1"/>
        <v>2044.3</v>
      </c>
      <c r="R54" s="108"/>
    </row>
    <row r="55" spans="1:18" ht="12.75">
      <c r="A55" s="120">
        <v>49</v>
      </c>
      <c r="B55" s="111" t="s">
        <v>773</v>
      </c>
      <c r="C55" s="111">
        <v>11203</v>
      </c>
      <c r="D55" s="122" t="s">
        <v>585</v>
      </c>
      <c r="E55" s="115">
        <v>1746.08</v>
      </c>
      <c r="F55" s="115">
        <v>1702.9</v>
      </c>
      <c r="G55" s="115">
        <v>1244.6</v>
      </c>
      <c r="H55" s="115">
        <v>1192.18</v>
      </c>
      <c r="I55" s="115"/>
      <c r="J55" s="115"/>
      <c r="K55" s="114"/>
      <c r="L55" s="115"/>
      <c r="M55" s="115"/>
      <c r="N55" s="115"/>
      <c r="O55" s="115"/>
      <c r="P55" s="115"/>
      <c r="Q55" s="115">
        <f t="shared" si="1"/>
        <v>5885.76</v>
      </c>
      <c r="R55" s="108"/>
    </row>
    <row r="56" spans="1:18" ht="12.75">
      <c r="A56" s="116">
        <v>50</v>
      </c>
      <c r="B56" s="111" t="s">
        <v>774</v>
      </c>
      <c r="C56" s="111">
        <v>11130</v>
      </c>
      <c r="D56" s="122">
        <v>14</v>
      </c>
      <c r="E56" s="113">
        <f>ROUND(0.04*521.42,0)*3.53*14</f>
        <v>1037.82</v>
      </c>
      <c r="F56" s="114">
        <f>ROUND(0.04*409.08,0)*3.53*14</f>
        <v>790.7199999999999</v>
      </c>
      <c r="G56" s="114">
        <f>ROUND(0.04*366.33,0)*3.53*14</f>
        <v>741.3</v>
      </c>
      <c r="H56" s="114">
        <f>ROUND(0.04*254.17,0)*3.53*14</f>
        <v>494.19999999999993</v>
      </c>
      <c r="I56" s="115"/>
      <c r="J56" s="115"/>
      <c r="K56" s="114"/>
      <c r="L56" s="114"/>
      <c r="M56" s="114"/>
      <c r="N56" s="114"/>
      <c r="O56" s="114"/>
      <c r="P56" s="114"/>
      <c r="Q56" s="115">
        <f t="shared" si="1"/>
        <v>3064.04</v>
      </c>
      <c r="R56" s="108"/>
    </row>
    <row r="57" spans="1:18" ht="12.75">
      <c r="A57" s="120">
        <v>51</v>
      </c>
      <c r="B57" s="111" t="s">
        <v>775</v>
      </c>
      <c r="C57" s="111">
        <v>11132</v>
      </c>
      <c r="D57" s="122">
        <v>14</v>
      </c>
      <c r="E57" s="113">
        <f>ROUND(0.04*521.42,0)*3.53*14</f>
        <v>1037.82</v>
      </c>
      <c r="F57" s="114">
        <f>ROUND(0.04*409.08,0)*3.53*14</f>
        <v>790.7199999999999</v>
      </c>
      <c r="G57" s="114">
        <f>ROUND(0.04*366.33,0)*3.53*14</f>
        <v>741.3</v>
      </c>
      <c r="H57" s="114">
        <f>ROUND(0.04*254.17,0)*3.53*14</f>
        <v>494.19999999999993</v>
      </c>
      <c r="I57" s="115"/>
      <c r="J57" s="115"/>
      <c r="K57" s="114"/>
      <c r="L57" s="114"/>
      <c r="M57" s="114"/>
      <c r="N57" s="114"/>
      <c r="O57" s="114"/>
      <c r="P57" s="114"/>
      <c r="Q57" s="115">
        <f t="shared" si="1"/>
        <v>3064.04</v>
      </c>
      <c r="R57" s="108"/>
    </row>
    <row r="58" spans="1:18" ht="12.75">
      <c r="A58" s="116">
        <v>52</v>
      </c>
      <c r="B58" s="111" t="s">
        <v>776</v>
      </c>
      <c r="C58" s="111">
        <v>11333</v>
      </c>
      <c r="D58" s="132" t="s">
        <v>585</v>
      </c>
      <c r="E58" s="114">
        <v>295.68</v>
      </c>
      <c r="F58" s="114">
        <v>458.45</v>
      </c>
      <c r="G58" s="114">
        <v>353.26</v>
      </c>
      <c r="H58" s="115">
        <v>263.73</v>
      </c>
      <c r="I58" s="115"/>
      <c r="J58" s="115"/>
      <c r="K58" s="114"/>
      <c r="L58" s="115"/>
      <c r="M58" s="115"/>
      <c r="N58" s="115"/>
      <c r="O58" s="115"/>
      <c r="P58" s="115"/>
      <c r="Q58" s="115">
        <f t="shared" si="1"/>
        <v>1371.12</v>
      </c>
      <c r="R58" s="108"/>
    </row>
    <row r="59" spans="1:18" ht="12.75">
      <c r="A59" s="120">
        <v>53</v>
      </c>
      <c r="B59" s="111" t="s">
        <v>119</v>
      </c>
      <c r="C59" s="121">
        <v>32034</v>
      </c>
      <c r="D59" s="126" t="s">
        <v>583</v>
      </c>
      <c r="E59" s="115">
        <v>19393.82</v>
      </c>
      <c r="F59" s="115">
        <v>20678.74</v>
      </c>
      <c r="G59" s="115">
        <v>15821.46</v>
      </c>
      <c r="H59" s="115">
        <v>16883.99</v>
      </c>
      <c r="I59" s="115"/>
      <c r="J59" s="115"/>
      <c r="K59" s="114"/>
      <c r="L59" s="115"/>
      <c r="M59" s="115"/>
      <c r="N59" s="115"/>
      <c r="O59" s="115"/>
      <c r="P59" s="115"/>
      <c r="Q59" s="115">
        <f t="shared" si="1"/>
        <v>72778.01</v>
      </c>
      <c r="R59" s="108"/>
    </row>
    <row r="60" spans="1:18" ht="12.75">
      <c r="A60" s="116">
        <v>54</v>
      </c>
      <c r="B60" s="111" t="s">
        <v>777</v>
      </c>
      <c r="C60" s="111">
        <v>11335</v>
      </c>
      <c r="D60" s="122" t="s">
        <v>585</v>
      </c>
      <c r="E60" s="115">
        <v>658.28</v>
      </c>
      <c r="F60" s="115">
        <v>570.94</v>
      </c>
      <c r="G60" s="115">
        <v>439.49</v>
      </c>
      <c r="H60" s="115">
        <v>463.03</v>
      </c>
      <c r="I60" s="115"/>
      <c r="J60" s="115"/>
      <c r="K60" s="114"/>
      <c r="L60" s="115"/>
      <c r="M60" s="115"/>
      <c r="N60" s="115"/>
      <c r="O60" s="115"/>
      <c r="P60" s="115"/>
      <c r="Q60" s="115">
        <f t="shared" si="1"/>
        <v>2131.74</v>
      </c>
      <c r="R60" s="108"/>
    </row>
    <row r="61" spans="1:18" ht="12.75">
      <c r="A61" s="120">
        <v>55</v>
      </c>
      <c r="B61" s="111" t="s">
        <v>778</v>
      </c>
      <c r="C61" s="111">
        <v>11136</v>
      </c>
      <c r="D61" s="122" t="s">
        <v>585</v>
      </c>
      <c r="E61" s="115">
        <v>2290.69</v>
      </c>
      <c r="F61" s="115">
        <v>2082.07</v>
      </c>
      <c r="G61" s="115">
        <v>1750.74</v>
      </c>
      <c r="H61" s="115">
        <v>1624.4</v>
      </c>
      <c r="I61" s="115"/>
      <c r="J61" s="115"/>
      <c r="K61" s="114"/>
      <c r="L61" s="115"/>
      <c r="M61" s="115"/>
      <c r="N61" s="115"/>
      <c r="O61" s="115"/>
      <c r="P61" s="115"/>
      <c r="Q61" s="115">
        <f t="shared" si="1"/>
        <v>7747.9</v>
      </c>
      <c r="R61" s="108"/>
    </row>
    <row r="62" spans="1:18" ht="12.75">
      <c r="A62" s="116">
        <v>56</v>
      </c>
      <c r="B62" s="111" t="s">
        <v>779</v>
      </c>
      <c r="C62" s="111">
        <v>11467</v>
      </c>
      <c r="D62" s="122" t="s">
        <v>585</v>
      </c>
      <c r="E62" s="115">
        <v>135.73</v>
      </c>
      <c r="F62" s="115">
        <v>119.44</v>
      </c>
      <c r="G62" s="115">
        <v>454.84999999999997</v>
      </c>
      <c r="H62" s="115">
        <v>1160.74</v>
      </c>
      <c r="I62" s="115"/>
      <c r="J62" s="115"/>
      <c r="K62" s="114"/>
      <c r="L62" s="115"/>
      <c r="M62" s="115"/>
      <c r="N62" s="115"/>
      <c r="O62" s="115"/>
      <c r="P62" s="115"/>
      <c r="Q62" s="115">
        <f t="shared" si="1"/>
        <v>1870.76</v>
      </c>
      <c r="R62" s="108"/>
    </row>
    <row r="63" spans="1:18" ht="12.75">
      <c r="A63" s="120">
        <v>57</v>
      </c>
      <c r="B63" s="111" t="s">
        <v>780</v>
      </c>
      <c r="C63" s="111">
        <v>11138</v>
      </c>
      <c r="D63" s="122" t="s">
        <v>585</v>
      </c>
      <c r="E63" s="115">
        <v>136.41</v>
      </c>
      <c r="F63" s="115">
        <v>110.15</v>
      </c>
      <c r="G63" s="115">
        <v>144.92</v>
      </c>
      <c r="H63" s="115">
        <v>142.78</v>
      </c>
      <c r="I63" s="115"/>
      <c r="J63" s="115"/>
      <c r="K63" s="114"/>
      <c r="L63" s="115"/>
      <c r="M63" s="115"/>
      <c r="N63" s="115"/>
      <c r="O63" s="115"/>
      <c r="P63" s="115"/>
      <c r="Q63" s="115">
        <f t="shared" si="1"/>
        <v>534.26</v>
      </c>
      <c r="R63" s="108"/>
    </row>
    <row r="64" spans="1:18" ht="12.75">
      <c r="A64" s="116">
        <v>58</v>
      </c>
      <c r="B64" s="111" t="s">
        <v>781</v>
      </c>
      <c r="C64" s="111">
        <v>11469</v>
      </c>
      <c r="D64" s="122">
        <v>2</v>
      </c>
      <c r="E64" s="113">
        <f>ROUND(0.04*521.42,0)*3.53*2</f>
        <v>148.26</v>
      </c>
      <c r="F64" s="114">
        <f>ROUND(0.04*409.08,0)*3.53*2</f>
        <v>112.96</v>
      </c>
      <c r="G64" s="114">
        <f>ROUND(0.04*366.33,0)*3.53*2</f>
        <v>105.89999999999999</v>
      </c>
      <c r="H64" s="114">
        <f>ROUND(0.04*254.17,0)*3.53*2</f>
        <v>70.6</v>
      </c>
      <c r="I64" s="114"/>
      <c r="J64" s="115"/>
      <c r="K64" s="114"/>
      <c r="L64" s="114"/>
      <c r="M64" s="114"/>
      <c r="N64" s="114"/>
      <c r="O64" s="114"/>
      <c r="P64" s="114"/>
      <c r="Q64" s="115">
        <f t="shared" si="1"/>
        <v>437.7199999999999</v>
      </c>
      <c r="R64" s="108"/>
    </row>
    <row r="65" spans="1:18" ht="12.75">
      <c r="A65" s="120">
        <v>59</v>
      </c>
      <c r="B65" s="111" t="s">
        <v>782</v>
      </c>
      <c r="C65" s="111">
        <v>11140</v>
      </c>
      <c r="D65" s="122" t="s">
        <v>585</v>
      </c>
      <c r="E65" s="115">
        <v>392.61</v>
      </c>
      <c r="F65" s="115">
        <v>393.61</v>
      </c>
      <c r="G65" s="115">
        <v>0</v>
      </c>
      <c r="H65" s="115">
        <v>392.61</v>
      </c>
      <c r="I65" s="115"/>
      <c r="J65" s="115"/>
      <c r="K65" s="114"/>
      <c r="L65" s="115"/>
      <c r="M65" s="115"/>
      <c r="N65" s="115"/>
      <c r="O65" s="115"/>
      <c r="P65" s="115"/>
      <c r="Q65" s="115">
        <f t="shared" si="1"/>
        <v>1178.83</v>
      </c>
      <c r="R65" s="108"/>
    </row>
    <row r="66" spans="1:18" ht="12.75">
      <c r="A66" s="116">
        <v>60</v>
      </c>
      <c r="B66" s="111" t="s">
        <v>783</v>
      </c>
      <c r="C66" s="111">
        <v>11102</v>
      </c>
      <c r="D66" s="122" t="s">
        <v>585</v>
      </c>
      <c r="E66" s="115">
        <v>1079.57</v>
      </c>
      <c r="F66" s="115">
        <v>760.98</v>
      </c>
      <c r="G66" s="115">
        <v>434.86</v>
      </c>
      <c r="H66" s="115">
        <v>390.07</v>
      </c>
      <c r="I66" s="115"/>
      <c r="J66" s="115"/>
      <c r="K66" s="114"/>
      <c r="L66" s="115"/>
      <c r="M66" s="115"/>
      <c r="N66" s="115"/>
      <c r="O66" s="115"/>
      <c r="P66" s="115"/>
      <c r="Q66" s="115">
        <f t="shared" si="1"/>
        <v>2665.48</v>
      </c>
      <c r="R66" s="108"/>
    </row>
    <row r="67" spans="1:18" ht="12.75">
      <c r="A67" s="120">
        <v>61</v>
      </c>
      <c r="B67" s="111" t="s">
        <v>784</v>
      </c>
      <c r="C67" s="111">
        <v>11142</v>
      </c>
      <c r="D67" s="122" t="s">
        <v>585</v>
      </c>
      <c r="E67" s="115">
        <v>351.12</v>
      </c>
      <c r="F67" s="115">
        <v>477.66</v>
      </c>
      <c r="G67" s="115">
        <v>289.36</v>
      </c>
      <c r="H67" s="115">
        <v>290.09</v>
      </c>
      <c r="I67" s="115"/>
      <c r="J67" s="115"/>
      <c r="K67" s="114"/>
      <c r="L67" s="115"/>
      <c r="M67" s="115"/>
      <c r="N67" s="115"/>
      <c r="O67" s="115"/>
      <c r="P67" s="115"/>
      <c r="Q67" s="115">
        <f t="shared" si="1"/>
        <v>1408.2299999999998</v>
      </c>
      <c r="R67" s="108"/>
    </row>
    <row r="68" spans="1:18" ht="12.75">
      <c r="A68" s="116">
        <v>62</v>
      </c>
      <c r="B68" s="111" t="s">
        <v>785</v>
      </c>
      <c r="C68" s="111">
        <v>11473</v>
      </c>
      <c r="D68" s="122" t="s">
        <v>584</v>
      </c>
      <c r="E68" s="115"/>
      <c r="F68" s="115"/>
      <c r="G68" s="115">
        <v>0</v>
      </c>
      <c r="H68" s="115"/>
      <c r="I68" s="115"/>
      <c r="J68" s="115"/>
      <c r="K68" s="114"/>
      <c r="L68" s="115"/>
      <c r="M68" s="115"/>
      <c r="N68" s="115"/>
      <c r="O68" s="115"/>
      <c r="P68" s="115"/>
      <c r="Q68" s="115">
        <f t="shared" si="1"/>
        <v>0</v>
      </c>
      <c r="R68" s="108"/>
    </row>
    <row r="69" spans="1:18" ht="12.75">
      <c r="A69" s="120">
        <v>63</v>
      </c>
      <c r="B69" s="111" t="s">
        <v>129</v>
      </c>
      <c r="C69" s="111">
        <v>11475</v>
      </c>
      <c r="D69" s="122" t="s">
        <v>585</v>
      </c>
      <c r="E69" s="115">
        <v>51.21</v>
      </c>
      <c r="F69" s="115">
        <v>76.11</v>
      </c>
      <c r="G69" s="115">
        <v>84.62</v>
      </c>
      <c r="H69" s="115">
        <v>11.38</v>
      </c>
      <c r="I69" s="115"/>
      <c r="J69" s="115"/>
      <c r="K69" s="114"/>
      <c r="L69" s="115"/>
      <c r="M69" s="115"/>
      <c r="N69" s="115"/>
      <c r="O69" s="115"/>
      <c r="P69" s="115"/>
      <c r="Q69" s="115">
        <f t="shared" si="1"/>
        <v>223.32</v>
      </c>
      <c r="R69" s="108"/>
    </row>
    <row r="70" spans="1:18" ht="12.75">
      <c r="A70" s="116">
        <v>64</v>
      </c>
      <c r="B70" s="111" t="s">
        <v>786</v>
      </c>
      <c r="C70" s="111">
        <v>11146</v>
      </c>
      <c r="D70" s="122" t="s">
        <v>585</v>
      </c>
      <c r="E70" s="115">
        <v>704.33</v>
      </c>
      <c r="F70" s="115">
        <v>780.39</v>
      </c>
      <c r="G70" s="115">
        <v>501.78</v>
      </c>
      <c r="H70" s="115">
        <v>565.05</v>
      </c>
      <c r="I70" s="115"/>
      <c r="J70" s="115"/>
      <c r="K70" s="114"/>
      <c r="L70" s="115"/>
      <c r="M70" s="115"/>
      <c r="N70" s="115"/>
      <c r="O70" s="115"/>
      <c r="P70" s="115"/>
      <c r="Q70" s="115">
        <f t="shared" si="1"/>
        <v>2551.55</v>
      </c>
      <c r="R70" s="108"/>
    </row>
    <row r="71" spans="1:18" ht="12.75">
      <c r="A71" s="120">
        <v>65</v>
      </c>
      <c r="B71" s="111" t="s">
        <v>787</v>
      </c>
      <c r="C71" s="111">
        <v>11148</v>
      </c>
      <c r="D71" s="122" t="s">
        <v>585</v>
      </c>
      <c r="E71" s="115">
        <v>869.29</v>
      </c>
      <c r="F71" s="115">
        <v>769.84</v>
      </c>
      <c r="G71" s="115">
        <v>428.64</v>
      </c>
      <c r="H71" s="115">
        <v>536.02</v>
      </c>
      <c r="I71" s="115"/>
      <c r="J71" s="115"/>
      <c r="K71" s="114"/>
      <c r="L71" s="115"/>
      <c r="M71" s="115"/>
      <c r="N71" s="115"/>
      <c r="O71" s="115"/>
      <c r="P71" s="115"/>
      <c r="Q71" s="115">
        <f t="shared" si="1"/>
        <v>2603.79</v>
      </c>
      <c r="R71" s="108"/>
    </row>
    <row r="72" spans="1:18" ht="12.75">
      <c r="A72" s="116">
        <v>66</v>
      </c>
      <c r="B72" s="111" t="s">
        <v>788</v>
      </c>
      <c r="C72" s="111">
        <v>11109</v>
      </c>
      <c r="D72" s="122" t="s">
        <v>585</v>
      </c>
      <c r="E72" s="115">
        <v>1670.85</v>
      </c>
      <c r="F72" s="115">
        <v>1784.22</v>
      </c>
      <c r="G72" s="115">
        <v>926.89</v>
      </c>
      <c r="H72" s="115">
        <v>781.97</v>
      </c>
      <c r="I72" s="115"/>
      <c r="J72" s="115"/>
      <c r="K72" s="114"/>
      <c r="L72" s="115"/>
      <c r="M72" s="115"/>
      <c r="N72" s="115"/>
      <c r="O72" s="115"/>
      <c r="P72" s="115"/>
      <c r="Q72" s="115">
        <f aca="true" t="shared" si="2" ref="Q72:Q135">E72+F72+G72+H72+I72+J72+K72+L72+M72+N72+O72+P72</f>
        <v>5163.93</v>
      </c>
      <c r="R72" s="108"/>
    </row>
    <row r="73" spans="1:18" ht="12.75">
      <c r="A73" s="120">
        <v>67</v>
      </c>
      <c r="B73" s="111" t="s">
        <v>789</v>
      </c>
      <c r="C73" s="111">
        <v>11149</v>
      </c>
      <c r="D73" s="122" t="s">
        <v>585</v>
      </c>
      <c r="E73" s="115">
        <v>1155.35</v>
      </c>
      <c r="F73" s="115">
        <v>1529.08</v>
      </c>
      <c r="G73" s="115">
        <v>720.79</v>
      </c>
      <c r="H73" s="115">
        <v>538.08</v>
      </c>
      <c r="I73" s="115"/>
      <c r="J73" s="115"/>
      <c r="K73" s="114"/>
      <c r="L73" s="115"/>
      <c r="M73" s="115"/>
      <c r="N73" s="115"/>
      <c r="O73" s="115"/>
      <c r="P73" s="115"/>
      <c r="Q73" s="115">
        <f t="shared" si="2"/>
        <v>3943.2999999999997</v>
      </c>
      <c r="R73" s="108"/>
    </row>
    <row r="74" spans="1:18" ht="12.75">
      <c r="A74" s="116">
        <v>68</v>
      </c>
      <c r="B74" s="111" t="s">
        <v>790</v>
      </c>
      <c r="C74" s="111">
        <v>11152</v>
      </c>
      <c r="D74" s="122" t="s">
        <v>585</v>
      </c>
      <c r="E74" s="115">
        <v>1173.58</v>
      </c>
      <c r="F74" s="115">
        <v>1217.06</v>
      </c>
      <c r="G74" s="115">
        <v>774.95</v>
      </c>
      <c r="H74" s="115">
        <v>1046.56</v>
      </c>
      <c r="I74" s="115"/>
      <c r="J74" s="115"/>
      <c r="K74" s="114"/>
      <c r="L74" s="115"/>
      <c r="M74" s="115"/>
      <c r="N74" s="115"/>
      <c r="O74" s="115"/>
      <c r="P74" s="115"/>
      <c r="Q74" s="115">
        <f t="shared" si="2"/>
        <v>4212.15</v>
      </c>
      <c r="R74" s="108"/>
    </row>
    <row r="75" spans="1:18" ht="12.75">
      <c r="A75" s="120">
        <v>69</v>
      </c>
      <c r="B75" s="111" t="s">
        <v>791</v>
      </c>
      <c r="C75" s="111">
        <v>11154</v>
      </c>
      <c r="D75" s="122" t="s">
        <v>585</v>
      </c>
      <c r="E75" s="115">
        <v>1967.31</v>
      </c>
      <c r="F75" s="115">
        <v>1905.9</v>
      </c>
      <c r="G75" s="115">
        <v>1064.18</v>
      </c>
      <c r="H75" s="115">
        <v>1066.67</v>
      </c>
      <c r="I75" s="115"/>
      <c r="J75" s="115"/>
      <c r="K75" s="114"/>
      <c r="L75" s="115"/>
      <c r="M75" s="115"/>
      <c r="N75" s="115"/>
      <c r="O75" s="115"/>
      <c r="P75" s="115"/>
      <c r="Q75" s="115">
        <f t="shared" si="2"/>
        <v>6004.06</v>
      </c>
      <c r="R75" s="108"/>
    </row>
    <row r="76" spans="1:18" ht="12.75">
      <c r="A76" s="116">
        <v>70</v>
      </c>
      <c r="B76" s="111" t="s">
        <v>792</v>
      </c>
      <c r="C76" s="111">
        <v>11157</v>
      </c>
      <c r="D76" s="122" t="s">
        <v>585</v>
      </c>
      <c r="E76" s="115">
        <v>1090.56</v>
      </c>
      <c r="F76" s="115">
        <v>636.63</v>
      </c>
      <c r="G76" s="115">
        <v>0</v>
      </c>
      <c r="H76" s="115">
        <v>230.43</v>
      </c>
      <c r="I76" s="115"/>
      <c r="J76" s="115"/>
      <c r="K76" s="114"/>
      <c r="L76" s="115"/>
      <c r="M76" s="115"/>
      <c r="N76" s="115"/>
      <c r="O76" s="115"/>
      <c r="P76" s="115"/>
      <c r="Q76" s="115">
        <f t="shared" si="2"/>
        <v>1957.6200000000001</v>
      </c>
      <c r="R76" s="108"/>
    </row>
    <row r="77" spans="1:18" ht="12.75">
      <c r="A77" s="120">
        <v>71</v>
      </c>
      <c r="B77" s="111" t="s">
        <v>793</v>
      </c>
      <c r="C77" s="111">
        <v>11107</v>
      </c>
      <c r="D77" s="122" t="s">
        <v>589</v>
      </c>
      <c r="E77" s="113">
        <f>ROUND(0.04*521.42,0)*3.53*12</f>
        <v>889.56</v>
      </c>
      <c r="F77" s="114">
        <f>ROUND(0.04*409.08,0)*3.53*22</f>
        <v>1242.56</v>
      </c>
      <c r="G77" s="114">
        <f>ROUND(0.04*366.33,0)*3.53*12</f>
        <v>635.4</v>
      </c>
      <c r="H77" s="114">
        <f>ROUND(0.04*254.17,0)*3.53*12</f>
        <v>423.59999999999997</v>
      </c>
      <c r="I77" s="115"/>
      <c r="J77" s="115"/>
      <c r="K77" s="114"/>
      <c r="L77" s="115"/>
      <c r="M77" s="115"/>
      <c r="N77" s="119"/>
      <c r="O77" s="119"/>
      <c r="P77" s="119"/>
      <c r="Q77" s="115">
        <f t="shared" si="2"/>
        <v>3191.12</v>
      </c>
      <c r="R77" s="108"/>
    </row>
    <row r="78" spans="1:18" ht="12.75">
      <c r="A78" s="116">
        <v>72</v>
      </c>
      <c r="B78" s="111" t="s">
        <v>794</v>
      </c>
      <c r="C78" s="111">
        <v>11160</v>
      </c>
      <c r="D78" s="122" t="s">
        <v>585</v>
      </c>
      <c r="E78" s="114">
        <v>2626.65</v>
      </c>
      <c r="F78" s="115">
        <v>2369.59</v>
      </c>
      <c r="G78" s="115">
        <v>1379.55</v>
      </c>
      <c r="H78" s="115">
        <v>1933.92</v>
      </c>
      <c r="I78" s="115"/>
      <c r="J78" s="115"/>
      <c r="K78" s="114"/>
      <c r="L78" s="115"/>
      <c r="M78" s="115"/>
      <c r="N78" s="114"/>
      <c r="O78" s="114"/>
      <c r="P78" s="114"/>
      <c r="Q78" s="115">
        <f t="shared" si="2"/>
        <v>8309.71</v>
      </c>
      <c r="R78" s="108"/>
    </row>
    <row r="79" spans="1:18" ht="12.75">
      <c r="A79" s="120">
        <v>73</v>
      </c>
      <c r="B79" s="111" t="s">
        <v>795</v>
      </c>
      <c r="C79" s="111">
        <v>11108</v>
      </c>
      <c r="D79" s="122" t="s">
        <v>585</v>
      </c>
      <c r="E79" s="115">
        <v>1072.09</v>
      </c>
      <c r="F79" s="115">
        <v>1349.54</v>
      </c>
      <c r="G79" s="115">
        <v>925.8599999999999</v>
      </c>
      <c r="H79" s="115">
        <v>730.46</v>
      </c>
      <c r="I79" s="115"/>
      <c r="J79" s="115"/>
      <c r="K79" s="114"/>
      <c r="L79" s="115"/>
      <c r="M79" s="115"/>
      <c r="N79" s="115"/>
      <c r="O79" s="115"/>
      <c r="P79" s="115"/>
      <c r="Q79" s="115">
        <f t="shared" si="2"/>
        <v>4077.95</v>
      </c>
      <c r="R79" s="108"/>
    </row>
    <row r="80" spans="1:18" ht="12.75">
      <c r="A80" s="116">
        <v>74</v>
      </c>
      <c r="B80" s="111" t="s">
        <v>796</v>
      </c>
      <c r="C80" s="111">
        <v>11309</v>
      </c>
      <c r="D80" s="122" t="s">
        <v>585</v>
      </c>
      <c r="E80" s="115">
        <v>1892.51</v>
      </c>
      <c r="F80" s="115">
        <v>1966.15</v>
      </c>
      <c r="G80" s="115">
        <v>1492.67</v>
      </c>
      <c r="H80" s="115">
        <v>1423.81</v>
      </c>
      <c r="I80" s="115"/>
      <c r="J80" s="115"/>
      <c r="K80" s="114"/>
      <c r="L80" s="115"/>
      <c r="M80" s="115"/>
      <c r="N80" s="115"/>
      <c r="O80" s="115"/>
      <c r="P80" s="115"/>
      <c r="Q80" s="115">
        <f t="shared" si="2"/>
        <v>6775.139999999999</v>
      </c>
      <c r="R80" s="108"/>
    </row>
    <row r="81" spans="1:18" ht="12.75">
      <c r="A81" s="120">
        <v>75</v>
      </c>
      <c r="B81" s="111" t="s">
        <v>797</v>
      </c>
      <c r="C81" s="111">
        <v>12401</v>
      </c>
      <c r="D81" s="129" t="s">
        <v>588</v>
      </c>
      <c r="E81" s="115">
        <v>7147.71</v>
      </c>
      <c r="F81" s="115">
        <v>4223.16</v>
      </c>
      <c r="G81" s="115">
        <v>4245.6</v>
      </c>
      <c r="H81" s="115">
        <v>3678.68</v>
      </c>
      <c r="I81" s="115"/>
      <c r="J81" s="115"/>
      <c r="K81" s="114"/>
      <c r="L81" s="115"/>
      <c r="M81" s="115"/>
      <c r="N81" s="115"/>
      <c r="O81" s="115"/>
      <c r="P81" s="115"/>
      <c r="Q81" s="115">
        <f t="shared" si="2"/>
        <v>19295.149999999998</v>
      </c>
      <c r="R81" s="108"/>
    </row>
    <row r="82" spans="1:18" ht="12.75">
      <c r="A82" s="116">
        <v>76</v>
      </c>
      <c r="B82" s="111" t="s">
        <v>798</v>
      </c>
      <c r="C82" s="111">
        <v>12405</v>
      </c>
      <c r="D82" s="122" t="s">
        <v>585</v>
      </c>
      <c r="E82" s="115">
        <v>2890.98</v>
      </c>
      <c r="F82" s="115">
        <v>2890.98</v>
      </c>
      <c r="G82" s="115">
        <v>1897.39</v>
      </c>
      <c r="H82" s="115">
        <v>1752.47</v>
      </c>
      <c r="I82" s="115"/>
      <c r="J82" s="115"/>
      <c r="K82" s="114"/>
      <c r="L82" s="115"/>
      <c r="M82" s="115"/>
      <c r="N82" s="115"/>
      <c r="O82" s="115"/>
      <c r="P82" s="115"/>
      <c r="Q82" s="115">
        <f t="shared" si="2"/>
        <v>9431.82</v>
      </c>
      <c r="R82" s="108"/>
    </row>
    <row r="83" spans="1:18" ht="12.75">
      <c r="A83" s="120">
        <v>77</v>
      </c>
      <c r="B83" s="111" t="s">
        <v>799</v>
      </c>
      <c r="C83" s="111">
        <v>12402</v>
      </c>
      <c r="D83" s="122" t="s">
        <v>585</v>
      </c>
      <c r="E83" s="115">
        <v>3815.74</v>
      </c>
      <c r="F83" s="115">
        <v>2559.88</v>
      </c>
      <c r="G83" s="115">
        <v>2192.77</v>
      </c>
      <c r="H83" s="115">
        <v>2005.05</v>
      </c>
      <c r="I83" s="115"/>
      <c r="J83" s="115"/>
      <c r="K83" s="114"/>
      <c r="L83" s="115"/>
      <c r="M83" s="115"/>
      <c r="N83" s="115"/>
      <c r="O83" s="115"/>
      <c r="P83" s="115"/>
      <c r="Q83" s="115">
        <f t="shared" si="2"/>
        <v>10573.439999999999</v>
      </c>
      <c r="R83" s="108"/>
    </row>
    <row r="84" spans="1:18" ht="12.75">
      <c r="A84" s="116">
        <v>78</v>
      </c>
      <c r="B84" s="111" t="s">
        <v>800</v>
      </c>
      <c r="C84" s="111">
        <v>12403</v>
      </c>
      <c r="D84" s="122" t="s">
        <v>590</v>
      </c>
      <c r="E84" s="133">
        <v>0</v>
      </c>
      <c r="F84" s="115">
        <v>0</v>
      </c>
      <c r="G84" s="115">
        <v>0</v>
      </c>
      <c r="H84" s="115">
        <f>118*2.83*3.53</f>
        <v>1178.8082</v>
      </c>
      <c r="I84" s="115"/>
      <c r="J84" s="115"/>
      <c r="K84" s="114"/>
      <c r="L84" s="115"/>
      <c r="M84" s="115"/>
      <c r="N84" s="115"/>
      <c r="O84" s="115"/>
      <c r="P84" s="115"/>
      <c r="Q84" s="115">
        <f t="shared" si="2"/>
        <v>1178.8082</v>
      </c>
      <c r="R84" s="219" t="s">
        <v>1232</v>
      </c>
    </row>
    <row r="85" spans="1:18" ht="12.75">
      <c r="A85" s="120">
        <v>79</v>
      </c>
      <c r="B85" s="111" t="s">
        <v>801</v>
      </c>
      <c r="C85" s="111">
        <v>12404</v>
      </c>
      <c r="D85" s="122" t="s">
        <v>585</v>
      </c>
      <c r="E85" s="115">
        <v>1642.6</v>
      </c>
      <c r="F85" s="115">
        <v>1328.49</v>
      </c>
      <c r="G85" s="115">
        <v>1068.36</v>
      </c>
      <c r="H85" s="115">
        <v>1090.79</v>
      </c>
      <c r="I85" s="115"/>
      <c r="J85" s="115"/>
      <c r="K85" s="114"/>
      <c r="L85" s="115"/>
      <c r="M85" s="115"/>
      <c r="N85" s="115"/>
      <c r="O85" s="115"/>
      <c r="P85" s="115"/>
      <c r="Q85" s="115">
        <f t="shared" si="2"/>
        <v>5130.24</v>
      </c>
      <c r="R85" s="108"/>
    </row>
    <row r="86" spans="1:18" ht="12.75" customHeight="1">
      <c r="A86" s="116">
        <v>80</v>
      </c>
      <c r="B86" s="111" t="s">
        <v>802</v>
      </c>
      <c r="C86" s="111">
        <v>21308</v>
      </c>
      <c r="D86" s="122">
        <v>2</v>
      </c>
      <c r="E86" s="113">
        <f>ROUND(0.04*521.42,0)*3.53*2</f>
        <v>148.26</v>
      </c>
      <c r="F86" s="114">
        <f>ROUND(0.04*409.08,0)*3.53*2</f>
        <v>112.96</v>
      </c>
      <c r="G86" s="114">
        <f>ROUND(0.04*366.33,0)*3.53*2</f>
        <v>105.89999999999999</v>
      </c>
      <c r="H86" s="114">
        <f>ROUND(0.04*254.17,0)*3.53*2</f>
        <v>70.6</v>
      </c>
      <c r="I86" s="114"/>
      <c r="J86" s="115"/>
      <c r="K86" s="114"/>
      <c r="L86" s="114"/>
      <c r="M86" s="114"/>
      <c r="N86" s="114"/>
      <c r="O86" s="114"/>
      <c r="P86" s="114"/>
      <c r="Q86" s="115">
        <f t="shared" si="2"/>
        <v>437.7199999999999</v>
      </c>
      <c r="R86" s="108"/>
    </row>
    <row r="87" spans="1:17" ht="12.75">
      <c r="A87" s="120">
        <v>81</v>
      </c>
      <c r="B87" s="111" t="s">
        <v>803</v>
      </c>
      <c r="Q87" s="115">
        <f t="shared" si="2"/>
        <v>0</v>
      </c>
    </row>
    <row r="88" spans="1:18" ht="12.75">
      <c r="A88" s="116">
        <v>82</v>
      </c>
      <c r="B88" s="111" t="s">
        <v>638</v>
      </c>
      <c r="C88" s="121">
        <v>21305</v>
      </c>
      <c r="D88" s="122" t="s">
        <v>717</v>
      </c>
      <c r="E88" s="115"/>
      <c r="F88" s="115"/>
      <c r="G88" s="115"/>
      <c r="H88" s="115"/>
      <c r="I88" s="115"/>
      <c r="J88" s="115"/>
      <c r="K88" s="114"/>
      <c r="L88" s="115"/>
      <c r="M88" s="115"/>
      <c r="N88" s="115"/>
      <c r="O88" s="115"/>
      <c r="P88" s="115"/>
      <c r="Q88" s="115">
        <f t="shared" si="2"/>
        <v>0</v>
      </c>
      <c r="R88" s="108" t="s">
        <v>723</v>
      </c>
    </row>
    <row r="89" spans="1:18" ht="12.75">
      <c r="A89" s="120">
        <v>83</v>
      </c>
      <c r="B89" s="111" t="s">
        <v>804</v>
      </c>
      <c r="C89" s="117">
        <v>21309</v>
      </c>
      <c r="D89" s="128">
        <v>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5">
        <f t="shared" si="2"/>
        <v>0</v>
      </c>
      <c r="R89" s="108" t="s">
        <v>805</v>
      </c>
    </row>
    <row r="90" spans="1:18" ht="12.75">
      <c r="A90" s="116">
        <v>84</v>
      </c>
      <c r="B90" s="111" t="s">
        <v>639</v>
      </c>
      <c r="C90" s="111">
        <v>22194</v>
      </c>
      <c r="D90" s="122" t="s">
        <v>717</v>
      </c>
      <c r="E90" s="134" t="s">
        <v>806</v>
      </c>
      <c r="F90" s="115"/>
      <c r="G90" s="115"/>
      <c r="H90" s="115"/>
      <c r="I90" s="115"/>
      <c r="J90" s="115"/>
      <c r="K90" s="114"/>
      <c r="L90" s="115"/>
      <c r="M90" s="115"/>
      <c r="N90" s="115"/>
      <c r="O90" s="115"/>
      <c r="P90" s="115"/>
      <c r="Q90" s="115" t="e">
        <f t="shared" si="2"/>
        <v>#VALUE!</v>
      </c>
      <c r="R90" s="108" t="s">
        <v>716</v>
      </c>
    </row>
    <row r="91" spans="1:17" ht="12.75">
      <c r="A91" s="120">
        <v>85</v>
      </c>
      <c r="B91" s="111" t="s">
        <v>807</v>
      </c>
      <c r="Q91" s="115">
        <f t="shared" si="2"/>
        <v>0</v>
      </c>
    </row>
    <row r="92" spans="1:18" ht="12.75">
      <c r="A92" s="116">
        <v>86</v>
      </c>
      <c r="B92" s="111" t="s">
        <v>808</v>
      </c>
      <c r="C92" s="111">
        <v>22155</v>
      </c>
      <c r="D92" s="132">
        <v>3</v>
      </c>
      <c r="E92" s="114">
        <f>ROUND(0.04*521.42,0)*3.53*3</f>
        <v>222.39</v>
      </c>
      <c r="F92" s="114">
        <f>ROUND(0.04*409.08,0)*3.53*3</f>
        <v>169.44</v>
      </c>
      <c r="G92" s="114">
        <f>ROUND(0.04*366.33,0)*3.53*3</f>
        <v>158.85</v>
      </c>
      <c r="H92" s="114">
        <f>ROUND(0.04*254.17,0)*3.53*3</f>
        <v>105.89999999999999</v>
      </c>
      <c r="I92" s="115"/>
      <c r="J92" s="115"/>
      <c r="K92" s="114"/>
      <c r="L92" s="114"/>
      <c r="M92" s="114"/>
      <c r="N92" s="114"/>
      <c r="O92" s="114"/>
      <c r="P92" s="114"/>
      <c r="Q92" s="115">
        <f t="shared" si="2"/>
        <v>656.5799999999999</v>
      </c>
      <c r="R92" s="108"/>
    </row>
    <row r="93" spans="1:18" ht="12.75">
      <c r="A93" s="120">
        <v>87</v>
      </c>
      <c r="B93" s="111" t="s">
        <v>640</v>
      </c>
      <c r="C93" s="121">
        <v>22156</v>
      </c>
      <c r="D93" s="122" t="s">
        <v>717</v>
      </c>
      <c r="E93" s="134" t="s">
        <v>809</v>
      </c>
      <c r="F93" s="115"/>
      <c r="G93" s="115"/>
      <c r="H93" s="115"/>
      <c r="I93" s="115"/>
      <c r="J93" s="115"/>
      <c r="K93" s="114"/>
      <c r="L93" s="115"/>
      <c r="M93" s="115"/>
      <c r="N93" s="115"/>
      <c r="O93" s="115"/>
      <c r="P93" s="115"/>
      <c r="Q93" s="115" t="e">
        <f t="shared" si="2"/>
        <v>#VALUE!</v>
      </c>
      <c r="R93" s="108" t="s">
        <v>716</v>
      </c>
    </row>
    <row r="94" spans="1:18" ht="12.75">
      <c r="A94" s="116">
        <v>88</v>
      </c>
      <c r="B94" s="111" t="s">
        <v>641</v>
      </c>
      <c r="C94" s="111">
        <v>22166</v>
      </c>
      <c r="D94" s="122" t="s">
        <v>717</v>
      </c>
      <c r="E94" s="115"/>
      <c r="F94" s="115"/>
      <c r="G94" s="115"/>
      <c r="H94" s="115"/>
      <c r="I94" s="115"/>
      <c r="J94" s="115"/>
      <c r="K94" s="114"/>
      <c r="L94" s="115"/>
      <c r="M94" s="115"/>
      <c r="N94" s="115"/>
      <c r="O94" s="115"/>
      <c r="P94" s="115"/>
      <c r="Q94" s="115">
        <f t="shared" si="2"/>
        <v>0</v>
      </c>
      <c r="R94" s="108" t="s">
        <v>716</v>
      </c>
    </row>
    <row r="95" spans="1:18" ht="12.75">
      <c r="A95" s="120">
        <v>89</v>
      </c>
      <c r="B95" s="111" t="s">
        <v>810</v>
      </c>
      <c r="C95" s="111">
        <v>22190</v>
      </c>
      <c r="D95" s="122" t="s">
        <v>811</v>
      </c>
      <c r="E95" s="133">
        <f>49.9*2.83*3.53</f>
        <v>498.49601</v>
      </c>
      <c r="F95" s="133">
        <f>49.9*2.83*3.53</f>
        <v>498.49601</v>
      </c>
      <c r="G95" s="133">
        <f>49.9*2.83*3.53</f>
        <v>498.49601</v>
      </c>
      <c r="H95" s="133">
        <f>49.9*2.83*3.53</f>
        <v>498.49601</v>
      </c>
      <c r="I95" s="135"/>
      <c r="J95" s="115"/>
      <c r="K95" s="114"/>
      <c r="L95" s="114"/>
      <c r="M95" s="114"/>
      <c r="N95" s="114"/>
      <c r="O95" s="114"/>
      <c r="P95" s="114"/>
      <c r="Q95" s="115">
        <f t="shared" si="2"/>
        <v>1993.98404</v>
      </c>
      <c r="R95" s="108"/>
    </row>
    <row r="96" spans="1:18" ht="12.75">
      <c r="A96" s="116">
        <v>90</v>
      </c>
      <c r="B96" s="111" t="s">
        <v>812</v>
      </c>
      <c r="C96" s="111">
        <v>22191</v>
      </c>
      <c r="D96" s="122" t="s">
        <v>813</v>
      </c>
      <c r="E96" s="133">
        <f>53*2.83*3.53</f>
        <v>529.4647</v>
      </c>
      <c r="F96" s="133">
        <f>53*2.83*3.53</f>
        <v>529.4647</v>
      </c>
      <c r="G96" s="133">
        <f>53*2.83*3.53</f>
        <v>529.4647</v>
      </c>
      <c r="H96" s="133">
        <f>53*2.83*3.53</f>
        <v>529.4647</v>
      </c>
      <c r="I96" s="115"/>
      <c r="J96" s="115"/>
      <c r="K96" s="114"/>
      <c r="L96" s="114"/>
      <c r="M96" s="114"/>
      <c r="N96" s="114"/>
      <c r="O96" s="114"/>
      <c r="P96" s="114"/>
      <c r="Q96" s="115">
        <f t="shared" si="2"/>
        <v>2117.8588</v>
      </c>
      <c r="R96" s="108"/>
    </row>
    <row r="97" spans="1:18" ht="12.75">
      <c r="A97" s="120">
        <v>91</v>
      </c>
      <c r="B97" s="111" t="s">
        <v>814</v>
      </c>
      <c r="C97" s="111">
        <v>22192</v>
      </c>
      <c r="D97" s="122">
        <v>3</v>
      </c>
      <c r="E97" s="113">
        <f>ROUND(0.04*521.42,0)*3.53*3</f>
        <v>222.39</v>
      </c>
      <c r="F97" s="114">
        <f>ROUND(0.04*409.08,0)*3.53*3</f>
        <v>169.44</v>
      </c>
      <c r="G97" s="114">
        <f>ROUND(0.04*366.33,0)*3.53*3</f>
        <v>158.85</v>
      </c>
      <c r="H97" s="114">
        <f>ROUND(0.04*254.17,0)*3.53*3</f>
        <v>105.89999999999999</v>
      </c>
      <c r="I97" s="115"/>
      <c r="J97" s="115"/>
      <c r="K97" s="114"/>
      <c r="L97" s="114"/>
      <c r="M97" s="114"/>
      <c r="N97" s="114"/>
      <c r="O97" s="114"/>
      <c r="P97" s="114"/>
      <c r="Q97" s="115">
        <f t="shared" si="2"/>
        <v>656.5799999999999</v>
      </c>
      <c r="R97" s="108"/>
    </row>
    <row r="98" spans="1:18" ht="12.75">
      <c r="A98" s="116">
        <v>92</v>
      </c>
      <c r="B98" s="111" t="s">
        <v>152</v>
      </c>
      <c r="C98" s="117">
        <v>22167</v>
      </c>
      <c r="D98" s="128" t="s">
        <v>584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5">
        <f t="shared" si="2"/>
        <v>0</v>
      </c>
      <c r="R98" s="108"/>
    </row>
    <row r="99" spans="1:18" ht="12.75">
      <c r="A99" s="120">
        <v>93</v>
      </c>
      <c r="B99" s="111" t="s">
        <v>642</v>
      </c>
      <c r="C99" s="121">
        <v>22154</v>
      </c>
      <c r="D99" s="122" t="s">
        <v>717</v>
      </c>
      <c r="E99" s="115"/>
      <c r="F99" s="115"/>
      <c r="G99" s="115"/>
      <c r="H99" s="115"/>
      <c r="I99" s="115"/>
      <c r="J99" s="115"/>
      <c r="K99" s="114"/>
      <c r="L99" s="115"/>
      <c r="M99" s="115"/>
      <c r="N99" s="115"/>
      <c r="O99" s="115"/>
      <c r="P99" s="115"/>
      <c r="Q99" s="115">
        <f t="shared" si="2"/>
        <v>0</v>
      </c>
      <c r="R99" s="108" t="s">
        <v>716</v>
      </c>
    </row>
    <row r="100" spans="1:18" ht="12.75">
      <c r="A100" s="116">
        <v>94</v>
      </c>
      <c r="B100" s="111" t="s">
        <v>815</v>
      </c>
      <c r="C100" s="111">
        <v>22193</v>
      </c>
      <c r="D100" s="122">
        <v>4</v>
      </c>
      <c r="E100" s="113">
        <f>ROUND(0.04*521.42,0)*3.53*4</f>
        <v>296.52</v>
      </c>
      <c r="F100" s="114">
        <f>ROUND(0.04*409.08,0)*3.53*4</f>
        <v>225.92</v>
      </c>
      <c r="G100" s="114">
        <f>ROUND(0.04*366.33,0)*3.53*4</f>
        <v>211.79999999999998</v>
      </c>
      <c r="H100" s="114">
        <f>ROUND(0.04*254.17,0)*3.53*4</f>
        <v>141.2</v>
      </c>
      <c r="I100" s="115"/>
      <c r="J100" s="115"/>
      <c r="K100" s="114"/>
      <c r="L100" s="114"/>
      <c r="M100" s="114"/>
      <c r="N100" s="114"/>
      <c r="O100" s="114"/>
      <c r="P100" s="114"/>
      <c r="Q100" s="115">
        <f t="shared" si="2"/>
        <v>875.4399999999998</v>
      </c>
      <c r="R100" s="108"/>
    </row>
    <row r="101" spans="1:18" ht="12.75">
      <c r="A101" s="120">
        <v>95</v>
      </c>
      <c r="B101" s="111" t="s">
        <v>816</v>
      </c>
      <c r="C101" s="121"/>
      <c r="D101" s="12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5">
        <f t="shared" si="2"/>
        <v>0</v>
      </c>
      <c r="R101" s="108"/>
    </row>
    <row r="102" spans="1:17" ht="12.75">
      <c r="A102" s="116">
        <v>96</v>
      </c>
      <c r="B102" s="111" t="s">
        <v>643</v>
      </c>
      <c r="C102" s="121">
        <v>21841</v>
      </c>
      <c r="D102" s="122">
        <v>0</v>
      </c>
      <c r="E102" s="115">
        <v>0</v>
      </c>
      <c r="F102" s="115">
        <v>0</v>
      </c>
      <c r="G102" s="115">
        <v>0</v>
      </c>
      <c r="H102" s="115">
        <v>0</v>
      </c>
      <c r="I102" s="115"/>
      <c r="J102" s="115"/>
      <c r="K102" s="114"/>
      <c r="L102" s="115"/>
      <c r="M102" s="115"/>
      <c r="N102" s="115"/>
      <c r="O102" s="115"/>
      <c r="P102" s="115"/>
      <c r="Q102" s="115">
        <f t="shared" si="2"/>
        <v>0</v>
      </c>
    </row>
    <row r="103" spans="1:18" ht="12.75">
      <c r="A103" s="120">
        <v>97</v>
      </c>
      <c r="B103" s="111" t="s">
        <v>644</v>
      </c>
      <c r="C103" s="121">
        <v>21632</v>
      </c>
      <c r="D103" s="122" t="s">
        <v>717</v>
      </c>
      <c r="E103" s="115">
        <v>0</v>
      </c>
      <c r="F103" s="115">
        <v>0</v>
      </c>
      <c r="G103" s="115">
        <v>0</v>
      </c>
      <c r="H103" s="115">
        <v>0</v>
      </c>
      <c r="I103" s="115"/>
      <c r="J103" s="115"/>
      <c r="K103" s="114"/>
      <c r="L103" s="115"/>
      <c r="M103" s="115"/>
      <c r="N103" s="115"/>
      <c r="O103" s="115"/>
      <c r="P103" s="115"/>
      <c r="Q103" s="115">
        <f t="shared" si="2"/>
        <v>0</v>
      </c>
      <c r="R103" s="108" t="s">
        <v>723</v>
      </c>
    </row>
    <row r="104" spans="1:17" ht="12.75">
      <c r="A104" s="116">
        <v>98</v>
      </c>
      <c r="B104" s="111" t="s">
        <v>646</v>
      </c>
      <c r="C104" s="111">
        <v>21311</v>
      </c>
      <c r="Q104" s="115">
        <f t="shared" si="2"/>
        <v>0</v>
      </c>
    </row>
    <row r="105" spans="1:18" ht="12.75">
      <c r="A105" s="120">
        <v>99</v>
      </c>
      <c r="B105" s="111" t="s">
        <v>817</v>
      </c>
      <c r="C105" s="111">
        <v>21315</v>
      </c>
      <c r="D105" s="122">
        <v>1</v>
      </c>
      <c r="E105" s="113">
        <f>ROUND(0.04*521.42,0)*3.53</f>
        <v>74.13</v>
      </c>
      <c r="F105" s="114">
        <f>ROUND(0.04*409.08,0)*3.53</f>
        <v>56.48</v>
      </c>
      <c r="G105" s="114">
        <f>ROUND(0.04*366.33,0)*3.53</f>
        <v>52.949999999999996</v>
      </c>
      <c r="H105" s="114">
        <f>ROUND(0.04*254.17,0)*3.53</f>
        <v>35.3</v>
      </c>
      <c r="I105" s="115"/>
      <c r="J105" s="115"/>
      <c r="K105" s="114"/>
      <c r="L105" s="114"/>
      <c r="M105" s="114"/>
      <c r="N105" s="114"/>
      <c r="O105" s="114"/>
      <c r="P105" s="114"/>
      <c r="Q105" s="115">
        <f t="shared" si="2"/>
        <v>218.85999999999996</v>
      </c>
      <c r="R105" s="108"/>
    </row>
    <row r="106" spans="1:18" ht="12.75">
      <c r="A106" s="116">
        <v>100</v>
      </c>
      <c r="B106" s="111" t="s">
        <v>647</v>
      </c>
      <c r="C106" s="121">
        <v>21161</v>
      </c>
      <c r="D106" s="122" t="s">
        <v>717</v>
      </c>
      <c r="E106" s="115"/>
      <c r="F106" s="115"/>
      <c r="G106" s="115"/>
      <c r="H106" s="115"/>
      <c r="I106" s="115"/>
      <c r="J106" s="115"/>
      <c r="K106" s="114"/>
      <c r="L106" s="115"/>
      <c r="M106" s="115"/>
      <c r="N106" s="115"/>
      <c r="O106" s="115"/>
      <c r="P106" s="115"/>
      <c r="Q106" s="115">
        <f t="shared" si="2"/>
        <v>0</v>
      </c>
      <c r="R106" s="108" t="s">
        <v>723</v>
      </c>
    </row>
    <row r="107" spans="1:18" ht="12.75">
      <c r="A107" s="120">
        <v>101</v>
      </c>
      <c r="B107" s="111" t="s">
        <v>818</v>
      </c>
      <c r="C107" s="111">
        <v>21150</v>
      </c>
      <c r="D107" s="122">
        <v>0</v>
      </c>
      <c r="E107" s="115"/>
      <c r="F107" s="115"/>
      <c r="G107" s="115"/>
      <c r="H107" s="115"/>
      <c r="I107" s="115"/>
      <c r="J107" s="115"/>
      <c r="K107" s="114"/>
      <c r="L107" s="115"/>
      <c r="M107" s="115"/>
      <c r="N107" s="115"/>
      <c r="O107" s="115"/>
      <c r="P107" s="115"/>
      <c r="Q107" s="115">
        <f t="shared" si="2"/>
        <v>0</v>
      </c>
      <c r="R107" s="108"/>
    </row>
    <row r="108" spans="1:18" ht="12.75">
      <c r="A108" s="116">
        <v>102</v>
      </c>
      <c r="B108" s="111" t="s">
        <v>819</v>
      </c>
      <c r="C108" s="117">
        <v>21152</v>
      </c>
      <c r="D108" s="128">
        <v>2</v>
      </c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>
        <f t="shared" si="2"/>
        <v>0</v>
      </c>
      <c r="R108" s="108" t="s">
        <v>820</v>
      </c>
    </row>
    <row r="109" spans="1:18" ht="12.75">
      <c r="A109" s="120">
        <v>103</v>
      </c>
      <c r="B109" s="111" t="s">
        <v>158</v>
      </c>
      <c r="C109" s="111">
        <v>21316</v>
      </c>
      <c r="D109" s="122" t="s">
        <v>584</v>
      </c>
      <c r="E109" s="136"/>
      <c r="F109" s="136"/>
      <c r="G109" s="136"/>
      <c r="H109" s="136"/>
      <c r="I109" s="115"/>
      <c r="J109" s="115"/>
      <c r="K109" s="114"/>
      <c r="L109" s="115"/>
      <c r="M109" s="136"/>
      <c r="N109" s="136"/>
      <c r="O109" s="136"/>
      <c r="P109" s="136"/>
      <c r="Q109" s="115">
        <f t="shared" si="2"/>
        <v>0</v>
      </c>
      <c r="R109" s="108"/>
    </row>
    <row r="110" spans="1:18" ht="12.75">
      <c r="A110" s="116">
        <v>104</v>
      </c>
      <c r="B110" s="111" t="s">
        <v>821</v>
      </c>
      <c r="C110" s="117">
        <v>12007</v>
      </c>
      <c r="D110" s="128">
        <v>0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>
        <f t="shared" si="2"/>
        <v>0</v>
      </c>
      <c r="R110" s="108" t="s">
        <v>822</v>
      </c>
    </row>
    <row r="111" spans="1:18" ht="12.75">
      <c r="A111" s="120">
        <v>105</v>
      </c>
      <c r="B111" s="111" t="s">
        <v>823</v>
      </c>
      <c r="C111" s="117">
        <v>21842</v>
      </c>
      <c r="D111" s="128">
        <v>0</v>
      </c>
      <c r="E111" s="113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>
        <f t="shared" si="2"/>
        <v>0</v>
      </c>
      <c r="R111" s="108"/>
    </row>
    <row r="112" spans="1:18" ht="12.75">
      <c r="A112" s="116">
        <v>106</v>
      </c>
      <c r="B112" s="111" t="s">
        <v>824</v>
      </c>
      <c r="C112" s="117">
        <v>21843</v>
      </c>
      <c r="D112" s="128">
        <v>0</v>
      </c>
      <c r="E112" s="113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>
        <f t="shared" si="2"/>
        <v>0</v>
      </c>
      <c r="R112" s="108"/>
    </row>
    <row r="113" spans="1:18" ht="12.75">
      <c r="A113" s="120">
        <v>107</v>
      </c>
      <c r="B113" s="111" t="s">
        <v>825</v>
      </c>
      <c r="C113" s="111">
        <v>21844</v>
      </c>
      <c r="D113" s="122" t="s">
        <v>585</v>
      </c>
      <c r="E113" s="115">
        <v>254.16</v>
      </c>
      <c r="F113" s="115">
        <v>254.16</v>
      </c>
      <c r="G113" s="115">
        <v>254.16</v>
      </c>
      <c r="H113" s="115">
        <v>254.16</v>
      </c>
      <c r="I113" s="115"/>
      <c r="J113" s="115"/>
      <c r="K113" s="114"/>
      <c r="L113" s="115"/>
      <c r="M113" s="115"/>
      <c r="N113" s="115"/>
      <c r="O113" s="115"/>
      <c r="P113" s="115"/>
      <c r="Q113" s="115">
        <f t="shared" si="2"/>
        <v>1016.64</v>
      </c>
      <c r="R113" s="108"/>
    </row>
    <row r="114" spans="1:18" ht="12.75">
      <c r="A114" s="116">
        <v>108</v>
      </c>
      <c r="B114" s="111" t="s">
        <v>826</v>
      </c>
      <c r="C114" s="111">
        <v>21845</v>
      </c>
      <c r="D114" s="122">
        <v>3</v>
      </c>
      <c r="E114" s="113">
        <f>ROUND(0.04*521.42,0)*3.53*3</f>
        <v>222.39</v>
      </c>
      <c r="F114" s="114">
        <f>ROUND(0.04*409.08,0)*3.53*3</f>
        <v>169.44</v>
      </c>
      <c r="G114" s="114">
        <f>ROUND(0.04*366.33,0)*3.53*3</f>
        <v>158.85</v>
      </c>
      <c r="H114" s="114">
        <f>ROUND(0.04*254.17,0)*3.53*3</f>
        <v>105.89999999999999</v>
      </c>
      <c r="I114" s="115"/>
      <c r="J114" s="115"/>
      <c r="K114" s="114"/>
      <c r="L114" s="114"/>
      <c r="M114" s="114"/>
      <c r="N114" s="114"/>
      <c r="O114" s="114"/>
      <c r="P114" s="114"/>
      <c r="Q114" s="115">
        <f t="shared" si="2"/>
        <v>656.5799999999999</v>
      </c>
      <c r="R114" s="108"/>
    </row>
    <row r="115" spans="1:18" ht="12.75">
      <c r="A115" s="120">
        <v>109</v>
      </c>
      <c r="B115" s="111" t="s">
        <v>827</v>
      </c>
      <c r="C115" s="117">
        <v>21846</v>
      </c>
      <c r="D115" s="128">
        <v>0</v>
      </c>
      <c r="E115" s="113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>
        <f t="shared" si="2"/>
        <v>0</v>
      </c>
      <c r="R115" s="108"/>
    </row>
    <row r="116" spans="1:18" ht="12.75">
      <c r="A116" s="116">
        <v>110</v>
      </c>
      <c r="B116" s="111" t="s">
        <v>165</v>
      </c>
      <c r="C116" s="111">
        <v>21847</v>
      </c>
      <c r="D116" s="122">
        <v>0</v>
      </c>
      <c r="E116" s="113"/>
      <c r="F116" s="115"/>
      <c r="G116" s="115"/>
      <c r="H116" s="115"/>
      <c r="I116" s="115"/>
      <c r="J116" s="115"/>
      <c r="K116" s="114"/>
      <c r="L116" s="115"/>
      <c r="M116" s="115"/>
      <c r="N116" s="115"/>
      <c r="O116" s="115"/>
      <c r="P116" s="115"/>
      <c r="Q116" s="115">
        <f t="shared" si="2"/>
        <v>0</v>
      </c>
      <c r="R116" s="108"/>
    </row>
    <row r="117" spans="1:18" ht="12.75">
      <c r="A117" s="120">
        <v>111</v>
      </c>
      <c r="B117" s="111" t="s">
        <v>648</v>
      </c>
      <c r="C117" s="137">
        <v>21848</v>
      </c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Q117" s="115">
        <f t="shared" si="2"/>
        <v>0</v>
      </c>
      <c r="R117" s="108"/>
    </row>
    <row r="118" spans="1:17" ht="12.75">
      <c r="A118" s="116">
        <v>112</v>
      </c>
      <c r="B118" s="111" t="s">
        <v>828</v>
      </c>
      <c r="C118" s="138">
        <v>21849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Q118" s="115">
        <f t="shared" si="2"/>
        <v>0</v>
      </c>
    </row>
    <row r="119" spans="1:17" ht="12.75">
      <c r="A119" s="120">
        <v>113</v>
      </c>
      <c r="B119" s="111" t="s">
        <v>649</v>
      </c>
      <c r="C119" s="139">
        <v>21850</v>
      </c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Q119" s="115">
        <f t="shared" si="2"/>
        <v>0</v>
      </c>
    </row>
    <row r="120" spans="1:17" ht="12.75">
      <c r="A120" s="116">
        <v>114</v>
      </c>
      <c r="B120" s="111" t="s">
        <v>166</v>
      </c>
      <c r="C120" s="111">
        <v>21853</v>
      </c>
      <c r="D120" s="122">
        <v>0</v>
      </c>
      <c r="E120" s="113"/>
      <c r="F120" s="115"/>
      <c r="G120" s="115"/>
      <c r="H120" s="115"/>
      <c r="I120" s="115"/>
      <c r="J120" s="115"/>
      <c r="K120" s="114"/>
      <c r="L120" s="115"/>
      <c r="M120" s="115"/>
      <c r="N120" s="115"/>
      <c r="O120" s="115"/>
      <c r="P120" s="115"/>
      <c r="Q120" s="115">
        <f t="shared" si="2"/>
        <v>0</v>
      </c>
    </row>
    <row r="121" spans="1:18" ht="12.75">
      <c r="A121" s="120">
        <v>115</v>
      </c>
      <c r="B121" s="111" t="s">
        <v>829</v>
      </c>
      <c r="C121" s="111">
        <v>21330</v>
      </c>
      <c r="D121" s="122">
        <v>0</v>
      </c>
      <c r="E121" s="113"/>
      <c r="F121" s="115"/>
      <c r="G121" s="115"/>
      <c r="H121" s="115"/>
      <c r="I121" s="115"/>
      <c r="J121" s="115"/>
      <c r="K121" s="114"/>
      <c r="L121" s="115"/>
      <c r="M121" s="115"/>
      <c r="N121" s="115"/>
      <c r="O121" s="115"/>
      <c r="P121" s="115"/>
      <c r="Q121" s="115">
        <f t="shared" si="2"/>
        <v>0</v>
      </c>
      <c r="R121" s="108"/>
    </row>
    <row r="122" spans="1:18" ht="12.75">
      <c r="A122" s="116">
        <v>116</v>
      </c>
      <c r="B122" s="111" t="s">
        <v>650</v>
      </c>
      <c r="C122" s="121">
        <v>23637</v>
      </c>
      <c r="D122" s="122" t="s">
        <v>717</v>
      </c>
      <c r="E122" s="115"/>
      <c r="F122" s="115"/>
      <c r="G122" s="115"/>
      <c r="H122" s="115"/>
      <c r="I122" s="115"/>
      <c r="J122" s="115"/>
      <c r="K122" s="114"/>
      <c r="L122" s="115"/>
      <c r="M122" s="115"/>
      <c r="N122" s="115"/>
      <c r="O122" s="115"/>
      <c r="P122" s="127"/>
      <c r="Q122" s="115">
        <f t="shared" si="2"/>
        <v>0</v>
      </c>
      <c r="R122" s="108" t="s">
        <v>723</v>
      </c>
    </row>
    <row r="123" spans="1:18" ht="12.75">
      <c r="A123" s="120">
        <v>117</v>
      </c>
      <c r="B123" s="111" t="s">
        <v>645</v>
      </c>
      <c r="C123" s="121">
        <v>10021</v>
      </c>
      <c r="D123" s="122" t="s">
        <v>717</v>
      </c>
      <c r="E123" s="140">
        <f>48.2*2.83*3.53</f>
        <v>481.51318</v>
      </c>
      <c r="F123" s="140">
        <f>48.2*2.83*3.53</f>
        <v>481.51318</v>
      </c>
      <c r="G123" s="140">
        <f>48.2*2.83*3.53</f>
        <v>481.51318</v>
      </c>
      <c r="H123" s="140">
        <f>48*2.83*3.53</f>
        <v>479.5152</v>
      </c>
      <c r="I123" s="115"/>
      <c r="J123" s="115"/>
      <c r="K123" s="114"/>
      <c r="L123" s="115"/>
      <c r="M123" s="115"/>
      <c r="N123" s="115"/>
      <c r="O123" s="115"/>
      <c r="P123" s="127"/>
      <c r="Q123" s="115">
        <f t="shared" si="2"/>
        <v>1924.05474</v>
      </c>
      <c r="R123" s="108" t="s">
        <v>722</v>
      </c>
    </row>
    <row r="124" spans="1:18" ht="12.75">
      <c r="A124" s="116">
        <v>118</v>
      </c>
      <c r="B124" s="111" t="s">
        <v>830</v>
      </c>
      <c r="C124" s="111">
        <v>12015</v>
      </c>
      <c r="D124" s="122">
        <v>6</v>
      </c>
      <c r="E124" s="113">
        <f>ROUND(0.04*521.42,0)*3.53*6</f>
        <v>444.78</v>
      </c>
      <c r="F124" s="114">
        <f>ROUND(0.04*409.08,0)*3.53*6</f>
        <v>338.88</v>
      </c>
      <c r="G124" s="114">
        <f>ROUND(0.04*366.33,0)*3.53*6</f>
        <v>317.7</v>
      </c>
      <c r="H124" s="114">
        <f>ROUND(0.04*254.17,0)*3.53*6</f>
        <v>211.79999999999998</v>
      </c>
      <c r="I124" s="115"/>
      <c r="J124" s="115"/>
      <c r="K124" s="114"/>
      <c r="L124" s="114"/>
      <c r="M124" s="114"/>
      <c r="N124" s="114"/>
      <c r="O124" s="114"/>
      <c r="P124" s="114"/>
      <c r="Q124" s="115">
        <f t="shared" si="2"/>
        <v>1313.1599999999999</v>
      </c>
      <c r="R124" s="108"/>
    </row>
    <row r="125" spans="1:18" ht="12.75">
      <c r="A125" s="120">
        <v>119</v>
      </c>
      <c r="B125" s="111" t="s">
        <v>831</v>
      </c>
      <c r="C125" s="141">
        <v>10005</v>
      </c>
      <c r="D125" s="122" t="s">
        <v>586</v>
      </c>
      <c r="E125" s="115"/>
      <c r="F125" s="115"/>
      <c r="G125" s="115"/>
      <c r="H125" s="115"/>
      <c r="I125" s="115"/>
      <c r="J125" s="115"/>
      <c r="K125" s="114"/>
      <c r="L125" s="115"/>
      <c r="M125" s="115"/>
      <c r="N125" s="115"/>
      <c r="O125" s="115"/>
      <c r="P125" s="115"/>
      <c r="Q125" s="115">
        <f t="shared" si="2"/>
        <v>0</v>
      </c>
      <c r="R125" s="108"/>
    </row>
    <row r="126" spans="1:18" ht="12.75">
      <c r="A126" s="116">
        <v>120</v>
      </c>
      <c r="B126" s="111" t="s">
        <v>832</v>
      </c>
      <c r="C126" s="111">
        <v>19498</v>
      </c>
      <c r="D126" s="129" t="s">
        <v>588</v>
      </c>
      <c r="E126" s="115">
        <v>9569.43</v>
      </c>
      <c r="F126" s="115">
        <v>7639.41</v>
      </c>
      <c r="G126" s="115">
        <v>7127.1900000000005</v>
      </c>
      <c r="H126" s="115">
        <v>8108.31</v>
      </c>
      <c r="I126" s="115"/>
      <c r="J126" s="115"/>
      <c r="K126" s="114"/>
      <c r="L126" s="115"/>
      <c r="M126" s="115"/>
      <c r="N126" s="115"/>
      <c r="O126" s="115"/>
      <c r="P126" s="115"/>
      <c r="Q126" s="115">
        <f t="shared" si="2"/>
        <v>32444.34</v>
      </c>
      <c r="R126" s="108"/>
    </row>
    <row r="127" spans="1:18" ht="12.75">
      <c r="A127" s="120">
        <v>121</v>
      </c>
      <c r="B127" s="111" t="s">
        <v>833</v>
      </c>
      <c r="C127" s="111">
        <v>12501</v>
      </c>
      <c r="D127" s="129" t="s">
        <v>588</v>
      </c>
      <c r="E127" s="115">
        <v>527.41</v>
      </c>
      <c r="F127" s="115">
        <v>5360.5</v>
      </c>
      <c r="G127" s="115">
        <v>8086.9</v>
      </c>
      <c r="H127" s="115">
        <v>7109.11</v>
      </c>
      <c r="I127" s="115"/>
      <c r="J127" s="115"/>
      <c r="K127" s="114"/>
      <c r="L127" s="115"/>
      <c r="M127" s="115"/>
      <c r="N127" s="115"/>
      <c r="O127" s="115"/>
      <c r="P127" s="115"/>
      <c r="Q127" s="115">
        <f t="shared" si="2"/>
        <v>21083.92</v>
      </c>
      <c r="R127" s="108"/>
    </row>
    <row r="128" spans="1:18" ht="12.75">
      <c r="A128" s="116">
        <v>122</v>
      </c>
      <c r="B128" s="111" t="s">
        <v>834</v>
      </c>
      <c r="C128" s="111">
        <v>12502</v>
      </c>
      <c r="D128" s="129" t="s">
        <v>588</v>
      </c>
      <c r="E128" s="115">
        <v>3027.17</v>
      </c>
      <c r="F128" s="115">
        <v>2850.65</v>
      </c>
      <c r="G128" s="115">
        <v>2900.35</v>
      </c>
      <c r="H128" s="115">
        <v>2365.44</v>
      </c>
      <c r="I128" s="115"/>
      <c r="J128" s="115"/>
      <c r="K128" s="114"/>
      <c r="L128" s="115"/>
      <c r="M128" s="115"/>
      <c r="N128" s="115"/>
      <c r="O128" s="115"/>
      <c r="P128" s="115"/>
      <c r="Q128" s="115">
        <f t="shared" si="2"/>
        <v>11143.61</v>
      </c>
      <c r="R128" s="108"/>
    </row>
    <row r="129" spans="1:18" ht="12.75">
      <c r="A129" s="120">
        <v>123</v>
      </c>
      <c r="B129" s="111" t="s">
        <v>835</v>
      </c>
      <c r="C129" s="111">
        <v>12503</v>
      </c>
      <c r="D129" s="129" t="s">
        <v>588</v>
      </c>
      <c r="E129" s="115">
        <v>3600.05</v>
      </c>
      <c r="F129" s="115">
        <v>3351.2</v>
      </c>
      <c r="G129" s="115">
        <v>3212.75</v>
      </c>
      <c r="H129" s="115">
        <v>2792.62</v>
      </c>
      <c r="I129" s="115"/>
      <c r="J129" s="115"/>
      <c r="K129" s="114"/>
      <c r="L129" s="115"/>
      <c r="M129" s="115"/>
      <c r="N129" s="115"/>
      <c r="O129" s="115"/>
      <c r="P129" s="115"/>
      <c r="Q129" s="115">
        <f t="shared" si="2"/>
        <v>12956.619999999999</v>
      </c>
      <c r="R129" s="108"/>
    </row>
    <row r="130" spans="1:18" ht="12.75">
      <c r="A130" s="116">
        <v>124</v>
      </c>
      <c r="B130" s="111" t="s">
        <v>836</v>
      </c>
      <c r="C130" s="111">
        <v>12504</v>
      </c>
      <c r="D130" s="129" t="s">
        <v>588</v>
      </c>
      <c r="E130" s="115">
        <v>3455.76</v>
      </c>
      <c r="F130" s="115">
        <v>3212.75</v>
      </c>
      <c r="G130" s="115">
        <v>2911</v>
      </c>
      <c r="H130" s="115">
        <v>2636.95</v>
      </c>
      <c r="I130" s="115"/>
      <c r="J130" s="115"/>
      <c r="K130" s="114"/>
      <c r="L130" s="115"/>
      <c r="M130" s="115"/>
      <c r="N130" s="115"/>
      <c r="O130" s="115"/>
      <c r="P130" s="115"/>
      <c r="Q130" s="115">
        <f t="shared" si="2"/>
        <v>12216.46</v>
      </c>
      <c r="R130" s="108"/>
    </row>
    <row r="131" spans="1:18" ht="12.75">
      <c r="A131" s="120">
        <v>125</v>
      </c>
      <c r="B131" s="111" t="s">
        <v>837</v>
      </c>
      <c r="C131" s="117">
        <v>12011</v>
      </c>
      <c r="D131" s="128">
        <v>0</v>
      </c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>
        <f t="shared" si="2"/>
        <v>0</v>
      </c>
      <c r="R131" s="108"/>
    </row>
    <row r="132" spans="1:18" ht="12.75">
      <c r="A132" s="116">
        <v>126</v>
      </c>
      <c r="B132" s="111" t="s">
        <v>838</v>
      </c>
      <c r="C132" s="117">
        <v>21442</v>
      </c>
      <c r="D132" s="128">
        <v>0</v>
      </c>
      <c r="E132" s="113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>
        <f t="shared" si="2"/>
        <v>0</v>
      </c>
      <c r="R132" s="108"/>
    </row>
    <row r="133" spans="1:18" ht="12.75">
      <c r="A133" s="120">
        <v>127</v>
      </c>
      <c r="B133" s="111" t="s">
        <v>177</v>
      </c>
      <c r="C133" s="111">
        <v>12019</v>
      </c>
      <c r="D133" s="122" t="s">
        <v>584</v>
      </c>
      <c r="E133" s="136"/>
      <c r="F133" s="115"/>
      <c r="G133" s="114">
        <f>ROUND(0.04*366.33,0)*3.53*3</f>
        <v>158.85</v>
      </c>
      <c r="H133" s="114">
        <f>ROUND(0.04*254.17,0)*3.53*3</f>
        <v>105.89999999999999</v>
      </c>
      <c r="I133" s="115"/>
      <c r="J133" s="115"/>
      <c r="K133" s="114"/>
      <c r="L133" s="115"/>
      <c r="M133" s="136"/>
      <c r="N133" s="136"/>
      <c r="O133" s="136"/>
      <c r="P133" s="136"/>
      <c r="Q133" s="115">
        <f t="shared" si="2"/>
        <v>264.75</v>
      </c>
      <c r="R133" s="108"/>
    </row>
    <row r="134" spans="1:18" ht="12.75">
      <c r="A134" s="116">
        <v>128</v>
      </c>
      <c r="B134" s="111" t="s">
        <v>839</v>
      </c>
      <c r="C134" s="117">
        <v>12020</v>
      </c>
      <c r="D134" s="128">
        <v>3</v>
      </c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>
        <f t="shared" si="2"/>
        <v>0</v>
      </c>
      <c r="R134" s="108" t="s">
        <v>840</v>
      </c>
    </row>
    <row r="135" spans="1:18" ht="12.75">
      <c r="A135" s="120">
        <v>129</v>
      </c>
      <c r="B135" s="111" t="s">
        <v>841</v>
      </c>
      <c r="C135" s="111">
        <v>12021</v>
      </c>
      <c r="D135" s="122">
        <v>3</v>
      </c>
      <c r="E135" s="113">
        <f>ROUND(0.04*521.42,0)*3.53*3</f>
        <v>222.39</v>
      </c>
      <c r="F135" s="114">
        <f>ROUND(0.04*409.08,0)*3.53*3</f>
        <v>169.44</v>
      </c>
      <c r="G135" s="114">
        <f>ROUND(0.04*366.33,0)*3.53*3</f>
        <v>158.85</v>
      </c>
      <c r="H135" s="114">
        <f>ROUND(0.04*254.17,0)*3.53*3</f>
        <v>105.89999999999999</v>
      </c>
      <c r="I135" s="115"/>
      <c r="J135" s="115"/>
      <c r="K135" s="114"/>
      <c r="L135" s="114"/>
      <c r="M135" s="114"/>
      <c r="N135" s="114"/>
      <c r="O135" s="114"/>
      <c r="P135" s="114"/>
      <c r="Q135" s="115">
        <f t="shared" si="2"/>
        <v>656.5799999999999</v>
      </c>
      <c r="R135" s="108"/>
    </row>
    <row r="136" spans="1:18" ht="12.75">
      <c r="A136" s="116">
        <v>130</v>
      </c>
      <c r="B136" s="111" t="s">
        <v>651</v>
      </c>
      <c r="C136" s="111">
        <v>22139</v>
      </c>
      <c r="D136" s="122" t="s">
        <v>717</v>
      </c>
      <c r="E136" s="113"/>
      <c r="F136" s="115"/>
      <c r="G136" s="115"/>
      <c r="H136" s="115"/>
      <c r="I136" s="115"/>
      <c r="J136" s="115"/>
      <c r="K136" s="114"/>
      <c r="L136" s="115"/>
      <c r="M136" s="115"/>
      <c r="N136" s="115"/>
      <c r="O136" s="115"/>
      <c r="P136" s="115"/>
      <c r="Q136" s="115">
        <f aca="true" t="shared" si="3" ref="Q136:Q199">E136+F136+G136+H136+I136+J136+K136+L136+M136+N136+O136+P136</f>
        <v>0</v>
      </c>
      <c r="R136" s="108" t="s">
        <v>716</v>
      </c>
    </row>
    <row r="137" spans="1:18" ht="12.75">
      <c r="A137" s="120">
        <v>131</v>
      </c>
      <c r="B137" s="111" t="s">
        <v>842</v>
      </c>
      <c r="C137" s="111">
        <v>21450</v>
      </c>
      <c r="D137" s="122">
        <v>2</v>
      </c>
      <c r="E137" s="113">
        <f>ROUND(0.04*521.42,0)*3.53*2</f>
        <v>148.26</v>
      </c>
      <c r="F137" s="114">
        <f>ROUND(0.04*409.08,0)*3.53*2</f>
        <v>112.96</v>
      </c>
      <c r="G137" s="114">
        <f>ROUND(0.04*366.33,0)*3.53*2</f>
        <v>105.89999999999999</v>
      </c>
      <c r="H137" s="114">
        <f>ROUND(0.04*254.17,0)*3.53*2</f>
        <v>70.6</v>
      </c>
      <c r="I137" s="114"/>
      <c r="J137" s="115"/>
      <c r="K137" s="114"/>
      <c r="L137" s="114"/>
      <c r="M137" s="114"/>
      <c r="N137" s="114"/>
      <c r="O137" s="114"/>
      <c r="P137" s="114"/>
      <c r="Q137" s="115">
        <f t="shared" si="3"/>
        <v>437.7199999999999</v>
      </c>
      <c r="R137" s="108"/>
    </row>
    <row r="138" spans="1:17" ht="12.75">
      <c r="A138" s="116">
        <v>132</v>
      </c>
      <c r="B138" s="111" t="s">
        <v>652</v>
      </c>
      <c r="C138" s="121">
        <v>21336</v>
      </c>
      <c r="Q138" s="115">
        <f t="shared" si="3"/>
        <v>0</v>
      </c>
    </row>
    <row r="139" spans="1:18" ht="12.75">
      <c r="A139" s="120">
        <v>133</v>
      </c>
      <c r="B139" s="111" t="s">
        <v>843</v>
      </c>
      <c r="C139" s="111">
        <v>22173</v>
      </c>
      <c r="D139" s="122">
        <v>4</v>
      </c>
      <c r="E139" s="113">
        <f>ROUND(0.04*521.42,0)*3.53*4</f>
        <v>296.52</v>
      </c>
      <c r="F139" s="114">
        <f>ROUND(0.04*409.08,0)*3.53*4</f>
        <v>225.92</v>
      </c>
      <c r="G139" s="114">
        <f>ROUND(0.04*366.33,0)*3.53*4</f>
        <v>211.79999999999998</v>
      </c>
      <c r="H139" s="114">
        <f>ROUND(0.04*254.17,0)*3.53*4</f>
        <v>141.2</v>
      </c>
      <c r="I139" s="115"/>
      <c r="J139" s="115"/>
      <c r="K139" s="114"/>
      <c r="L139" s="114"/>
      <c r="M139" s="114"/>
      <c r="N139" s="114"/>
      <c r="O139" s="114"/>
      <c r="P139" s="114"/>
      <c r="Q139" s="115">
        <f t="shared" si="3"/>
        <v>875.4399999999998</v>
      </c>
      <c r="R139" s="108"/>
    </row>
    <row r="140" spans="1:18" ht="12.75">
      <c r="A140" s="116">
        <v>134</v>
      </c>
      <c r="B140" s="111" t="s">
        <v>653</v>
      </c>
      <c r="C140" s="121">
        <v>22170</v>
      </c>
      <c r="D140" s="122" t="s">
        <v>717</v>
      </c>
      <c r="E140" s="115"/>
      <c r="F140" s="115"/>
      <c r="G140" s="115"/>
      <c r="H140" s="115"/>
      <c r="I140" s="115"/>
      <c r="J140" s="115"/>
      <c r="K140" s="114"/>
      <c r="L140" s="115"/>
      <c r="M140" s="115"/>
      <c r="N140" s="115"/>
      <c r="O140" s="115"/>
      <c r="P140" s="127"/>
      <c r="Q140" s="115">
        <f t="shared" si="3"/>
        <v>0</v>
      </c>
      <c r="R140" s="108" t="s">
        <v>716</v>
      </c>
    </row>
    <row r="141" spans="1:18" ht="12.75">
      <c r="A141" s="120">
        <v>135</v>
      </c>
      <c r="B141" s="111" t="s">
        <v>844</v>
      </c>
      <c r="C141" s="111">
        <v>22169</v>
      </c>
      <c r="D141" s="122">
        <v>4</v>
      </c>
      <c r="E141" s="113">
        <f>ROUND(0.04*521.42,0)*3.53*4</f>
        <v>296.52</v>
      </c>
      <c r="F141" s="114">
        <f>ROUND(0.04*409.08,0)*3.53*4</f>
        <v>225.92</v>
      </c>
      <c r="G141" s="114">
        <f>ROUND(0.04*366.33,0)*3.53*4</f>
        <v>211.79999999999998</v>
      </c>
      <c r="H141" s="114">
        <f>ROUND(0.04*254.17,0)*3.53*4</f>
        <v>141.2</v>
      </c>
      <c r="I141" s="115"/>
      <c r="J141" s="115"/>
      <c r="K141" s="114"/>
      <c r="L141" s="114"/>
      <c r="M141" s="114"/>
      <c r="N141" s="114"/>
      <c r="O141" s="114"/>
      <c r="P141" s="114"/>
      <c r="Q141" s="115">
        <f t="shared" si="3"/>
        <v>875.4399999999998</v>
      </c>
      <c r="R141" s="108"/>
    </row>
    <row r="142" spans="1:18" ht="12.75">
      <c r="A142" s="116">
        <v>136</v>
      </c>
      <c r="B142" s="111" t="s">
        <v>654</v>
      </c>
      <c r="C142" s="121">
        <v>22157</v>
      </c>
      <c r="D142" s="122" t="s">
        <v>717</v>
      </c>
      <c r="E142" s="134" t="s">
        <v>806</v>
      </c>
      <c r="F142" s="115"/>
      <c r="G142" s="115"/>
      <c r="H142" s="115"/>
      <c r="I142" s="115"/>
      <c r="J142" s="115"/>
      <c r="K142" s="114"/>
      <c r="L142" s="115"/>
      <c r="M142" s="115"/>
      <c r="N142" s="115"/>
      <c r="O142" s="115"/>
      <c r="P142" s="127"/>
      <c r="Q142" s="115" t="e">
        <f t="shared" si="3"/>
        <v>#VALUE!</v>
      </c>
      <c r="R142" s="108" t="s">
        <v>716</v>
      </c>
    </row>
    <row r="143" spans="1:18" ht="12.75">
      <c r="A143" s="120">
        <v>137</v>
      </c>
      <c r="B143" s="111" t="s">
        <v>655</v>
      </c>
      <c r="C143" s="121">
        <v>22158</v>
      </c>
      <c r="D143" s="122" t="s">
        <v>717</v>
      </c>
      <c r="E143" s="134" t="s">
        <v>809</v>
      </c>
      <c r="F143" s="115"/>
      <c r="G143" s="115"/>
      <c r="H143" s="115"/>
      <c r="I143" s="115"/>
      <c r="J143" s="115"/>
      <c r="K143" s="114"/>
      <c r="L143" s="115"/>
      <c r="M143" s="115"/>
      <c r="N143" s="115"/>
      <c r="O143" s="115"/>
      <c r="P143" s="127"/>
      <c r="Q143" s="115" t="e">
        <f t="shared" si="3"/>
        <v>#VALUE!</v>
      </c>
      <c r="R143" s="108" t="s">
        <v>716</v>
      </c>
    </row>
    <row r="144" spans="1:18" ht="12.75">
      <c r="A144" s="116">
        <v>138</v>
      </c>
      <c r="B144" s="111" t="s">
        <v>656</v>
      </c>
      <c r="C144" s="121">
        <v>22171</v>
      </c>
      <c r="D144" s="122" t="s">
        <v>717</v>
      </c>
      <c r="E144" s="134" t="s">
        <v>809</v>
      </c>
      <c r="F144" s="115"/>
      <c r="G144" s="115"/>
      <c r="H144" s="115"/>
      <c r="I144" s="115"/>
      <c r="J144" s="115"/>
      <c r="K144" s="114"/>
      <c r="L144" s="115"/>
      <c r="M144" s="115"/>
      <c r="N144" s="115"/>
      <c r="O144" s="115"/>
      <c r="P144" s="127"/>
      <c r="Q144" s="115" t="e">
        <f t="shared" si="3"/>
        <v>#VALUE!</v>
      </c>
      <c r="R144" s="108" t="s">
        <v>716</v>
      </c>
    </row>
    <row r="145" spans="1:18" ht="12.75">
      <c r="A145" s="120">
        <v>139</v>
      </c>
      <c r="B145" s="111" t="s">
        <v>845</v>
      </c>
      <c r="C145" s="111">
        <v>22159</v>
      </c>
      <c r="D145" s="122" t="s">
        <v>584</v>
      </c>
      <c r="E145" s="136"/>
      <c r="F145" s="115"/>
      <c r="G145" s="115"/>
      <c r="H145" s="115"/>
      <c r="I145" s="115"/>
      <c r="J145" s="115"/>
      <c r="K145" s="114"/>
      <c r="L145" s="115"/>
      <c r="M145" s="136"/>
      <c r="N145" s="136"/>
      <c r="O145" s="136"/>
      <c r="P145" s="136"/>
      <c r="Q145" s="115">
        <f t="shared" si="3"/>
        <v>0</v>
      </c>
      <c r="R145" s="108"/>
    </row>
    <row r="146" spans="1:18" ht="12.75">
      <c r="A146" s="116">
        <v>140</v>
      </c>
      <c r="B146" s="111" t="s">
        <v>657</v>
      </c>
      <c r="C146" s="121"/>
      <c r="D146" s="122" t="s">
        <v>717</v>
      </c>
      <c r="E146" s="115"/>
      <c r="F146" s="115"/>
      <c r="G146" s="115"/>
      <c r="H146" s="115"/>
      <c r="I146" s="115"/>
      <c r="J146" s="115"/>
      <c r="K146" s="114"/>
      <c r="L146" s="115"/>
      <c r="M146" s="115"/>
      <c r="N146" s="115"/>
      <c r="O146" s="115"/>
      <c r="P146" s="127"/>
      <c r="Q146" s="115">
        <f t="shared" si="3"/>
        <v>0</v>
      </c>
      <c r="R146" s="108" t="s">
        <v>716</v>
      </c>
    </row>
    <row r="147" spans="1:18" ht="12.75">
      <c r="A147" s="120">
        <v>141</v>
      </c>
      <c r="B147" s="111" t="s">
        <v>846</v>
      </c>
      <c r="C147" s="111">
        <v>21519</v>
      </c>
      <c r="D147" s="122" t="s">
        <v>711</v>
      </c>
      <c r="E147" s="115">
        <v>1599.25</v>
      </c>
      <c r="F147" s="115">
        <v>1642.63</v>
      </c>
      <c r="G147" s="115">
        <v>1682.46</v>
      </c>
      <c r="H147" s="115">
        <v>1679.74</v>
      </c>
      <c r="I147" s="115"/>
      <c r="J147" s="115"/>
      <c r="K147" s="114"/>
      <c r="L147" s="115"/>
      <c r="M147" s="115"/>
      <c r="N147" s="115"/>
      <c r="O147" s="115"/>
      <c r="P147" s="115"/>
      <c r="Q147" s="115">
        <f t="shared" si="3"/>
        <v>6604.08</v>
      </c>
      <c r="R147" s="108"/>
    </row>
    <row r="148" spans="1:18" ht="12.75">
      <c r="A148" s="116">
        <v>142</v>
      </c>
      <c r="B148" s="111" t="s">
        <v>847</v>
      </c>
      <c r="C148" s="111">
        <v>21520</v>
      </c>
      <c r="D148" s="122" t="s">
        <v>712</v>
      </c>
      <c r="E148" s="115">
        <v>689.65</v>
      </c>
      <c r="F148" s="115">
        <v>625.07</v>
      </c>
      <c r="G148" s="115">
        <v>568.37</v>
      </c>
      <c r="H148" s="115">
        <v>425.54</v>
      </c>
      <c r="I148" s="115"/>
      <c r="J148" s="115"/>
      <c r="K148" s="114"/>
      <c r="L148" s="115"/>
      <c r="M148" s="115"/>
      <c r="N148" s="115"/>
      <c r="O148" s="115"/>
      <c r="P148" s="115"/>
      <c r="Q148" s="115">
        <f t="shared" si="3"/>
        <v>2308.63</v>
      </c>
      <c r="R148" s="108"/>
    </row>
    <row r="149" spans="1:18" ht="12.75">
      <c r="A149" s="120">
        <v>143</v>
      </c>
      <c r="B149" s="111" t="s">
        <v>848</v>
      </c>
      <c r="C149" s="111">
        <v>21521</v>
      </c>
      <c r="D149" s="122" t="s">
        <v>712</v>
      </c>
      <c r="E149" s="115">
        <v>760.7</v>
      </c>
      <c r="F149" s="115">
        <v>720.24</v>
      </c>
      <c r="G149" s="115">
        <v>624.4399999999999</v>
      </c>
      <c r="H149" s="115">
        <v>419.02</v>
      </c>
      <c r="I149" s="115"/>
      <c r="J149" s="115"/>
      <c r="K149" s="114"/>
      <c r="L149" s="115"/>
      <c r="M149" s="115"/>
      <c r="N149" s="115"/>
      <c r="O149" s="115"/>
      <c r="P149" s="115"/>
      <c r="Q149" s="115">
        <f t="shared" si="3"/>
        <v>2524.4</v>
      </c>
      <c r="R149" s="108"/>
    </row>
    <row r="150" spans="1:18" ht="12.75">
      <c r="A150" s="116">
        <v>144</v>
      </c>
      <c r="B150" s="111" t="s">
        <v>849</v>
      </c>
      <c r="C150" s="111">
        <v>21522</v>
      </c>
      <c r="D150" s="122" t="s">
        <v>712</v>
      </c>
      <c r="E150" s="115">
        <v>811.13</v>
      </c>
      <c r="F150" s="115">
        <v>767.17</v>
      </c>
      <c r="G150" s="115">
        <v>642.1899999999999</v>
      </c>
      <c r="H150" s="115">
        <v>479.52</v>
      </c>
      <c r="I150" s="115"/>
      <c r="J150" s="115"/>
      <c r="K150" s="114"/>
      <c r="L150" s="115"/>
      <c r="M150" s="115"/>
      <c r="N150" s="115"/>
      <c r="O150" s="115"/>
      <c r="P150" s="115"/>
      <c r="Q150" s="115">
        <f t="shared" si="3"/>
        <v>2700.0099999999998</v>
      </c>
      <c r="R150" s="108"/>
    </row>
    <row r="151" spans="1:18" ht="12.75">
      <c r="A151" s="120">
        <v>145</v>
      </c>
      <c r="B151" s="111" t="s">
        <v>620</v>
      </c>
      <c r="C151" s="111"/>
      <c r="D151" s="122">
        <v>15</v>
      </c>
      <c r="E151" s="114">
        <f>ROUND(0.04*521.42,0)*3.53*15</f>
        <v>1111.9499999999998</v>
      </c>
      <c r="F151" s="115">
        <v>17282.88</v>
      </c>
      <c r="G151" s="115">
        <v>1080.1799999999998</v>
      </c>
      <c r="H151" s="115">
        <v>1080.18</v>
      </c>
      <c r="I151" s="115"/>
      <c r="J151" s="115"/>
      <c r="K151" s="114"/>
      <c r="L151" s="114"/>
      <c r="M151" s="114"/>
      <c r="N151" s="114"/>
      <c r="O151" s="114"/>
      <c r="P151" s="114"/>
      <c r="Q151" s="115">
        <f t="shared" si="3"/>
        <v>20555.190000000002</v>
      </c>
      <c r="R151" s="108"/>
    </row>
    <row r="152" spans="1:18" ht="12.75">
      <c r="A152" s="116">
        <v>146</v>
      </c>
      <c r="B152" s="111" t="s">
        <v>621</v>
      </c>
      <c r="C152" s="111"/>
      <c r="D152" s="122">
        <v>10</v>
      </c>
      <c r="E152" s="114">
        <f>ROUND(0.04*521.42,0)*3.53*10</f>
        <v>741.3</v>
      </c>
      <c r="F152" s="115">
        <v>8189.6</v>
      </c>
      <c r="G152" s="115">
        <v>511.84999999999997</v>
      </c>
      <c r="H152" s="115">
        <v>511.85</v>
      </c>
      <c r="I152" s="115"/>
      <c r="J152" s="115"/>
      <c r="K152" s="114"/>
      <c r="L152" s="114"/>
      <c r="M152" s="114"/>
      <c r="N152" s="114"/>
      <c r="O152" s="114"/>
      <c r="P152" s="114"/>
      <c r="Q152" s="115">
        <f t="shared" si="3"/>
        <v>9954.6</v>
      </c>
      <c r="R152" s="108"/>
    </row>
    <row r="153" spans="1:18" ht="12.75">
      <c r="A153" s="120">
        <v>147</v>
      </c>
      <c r="B153" s="111" t="s">
        <v>622</v>
      </c>
      <c r="C153" s="111"/>
      <c r="D153" s="122">
        <v>15</v>
      </c>
      <c r="E153" s="114">
        <f>ROUND(0.04*521.42,0)*3.53*15</f>
        <v>1111.9499999999998</v>
      </c>
      <c r="F153" s="115">
        <v>24116.96</v>
      </c>
      <c r="G153" s="115">
        <v>1507.31</v>
      </c>
      <c r="H153" s="115">
        <v>1507.31</v>
      </c>
      <c r="I153" s="115"/>
      <c r="J153" s="115"/>
      <c r="K153" s="114"/>
      <c r="L153" s="114"/>
      <c r="M153" s="114"/>
      <c r="N153" s="114"/>
      <c r="O153" s="114"/>
      <c r="P153" s="114"/>
      <c r="Q153" s="115">
        <f t="shared" si="3"/>
        <v>28243.530000000002</v>
      </c>
      <c r="R153" s="108"/>
    </row>
    <row r="154" spans="1:18" ht="15" customHeight="1">
      <c r="A154" s="116">
        <v>148</v>
      </c>
      <c r="B154" s="111" t="s">
        <v>623</v>
      </c>
      <c r="C154" s="111"/>
      <c r="D154" s="122">
        <v>12</v>
      </c>
      <c r="E154" s="114">
        <f>ROUND(0.04*521.42,0)*3.53*11</f>
        <v>815.43</v>
      </c>
      <c r="F154" s="115">
        <v>30103.84</v>
      </c>
      <c r="G154" s="115">
        <v>1881.49</v>
      </c>
      <c r="H154" s="115">
        <v>1881.49</v>
      </c>
      <c r="I154" s="115"/>
      <c r="J154" s="115"/>
      <c r="K154" s="114"/>
      <c r="L154" s="114"/>
      <c r="M154" s="114"/>
      <c r="N154" s="114"/>
      <c r="O154" s="114"/>
      <c r="P154" s="114"/>
      <c r="Q154" s="115">
        <f t="shared" si="3"/>
        <v>34682.25</v>
      </c>
      <c r="R154" s="108"/>
    </row>
    <row r="155" spans="1:18" ht="12.75">
      <c r="A155" s="120">
        <v>149</v>
      </c>
      <c r="B155" s="111" t="s">
        <v>624</v>
      </c>
      <c r="C155" s="111"/>
      <c r="D155" s="122">
        <v>12</v>
      </c>
      <c r="E155" s="114">
        <f>ROUND(0.04*521.42,0)*3.53*11</f>
        <v>815.43</v>
      </c>
      <c r="F155" s="115">
        <v>29539.04</v>
      </c>
      <c r="G155" s="115">
        <v>1846.1899999999998</v>
      </c>
      <c r="H155" s="115">
        <v>1846.19</v>
      </c>
      <c r="I155" s="115"/>
      <c r="J155" s="115"/>
      <c r="K155" s="114"/>
      <c r="L155" s="114"/>
      <c r="M155" s="114"/>
      <c r="N155" s="114"/>
      <c r="O155" s="114"/>
      <c r="P155" s="114"/>
      <c r="Q155" s="115">
        <f t="shared" si="3"/>
        <v>34046.85</v>
      </c>
      <c r="R155" s="108"/>
    </row>
    <row r="156" spans="1:18" ht="12.75">
      <c r="A156" s="116">
        <v>150</v>
      </c>
      <c r="B156" s="111" t="s">
        <v>625</v>
      </c>
      <c r="C156" s="111"/>
      <c r="D156" s="122">
        <v>6</v>
      </c>
      <c r="E156" s="114">
        <f>ROUND(0.04*521.42,0)*3.53*6</f>
        <v>444.78</v>
      </c>
      <c r="F156" s="115">
        <v>12764.48</v>
      </c>
      <c r="G156" s="115">
        <v>797.78</v>
      </c>
      <c r="H156" s="115">
        <v>797.78</v>
      </c>
      <c r="I156" s="115"/>
      <c r="J156" s="115"/>
      <c r="K156" s="114"/>
      <c r="L156" s="114"/>
      <c r="M156" s="114"/>
      <c r="N156" s="114"/>
      <c r="O156" s="114"/>
      <c r="P156" s="114"/>
      <c r="Q156" s="115">
        <f t="shared" si="3"/>
        <v>14804.820000000002</v>
      </c>
      <c r="R156" s="108"/>
    </row>
    <row r="157" spans="1:18" ht="12.75">
      <c r="A157" s="120">
        <v>151</v>
      </c>
      <c r="B157" s="111" t="s">
        <v>626</v>
      </c>
      <c r="C157" s="111"/>
      <c r="D157" s="122">
        <v>6</v>
      </c>
      <c r="E157" s="114">
        <f>ROUND(0.04*521.42,0)*3.53*6</f>
        <v>444.78</v>
      </c>
      <c r="F157" s="115">
        <v>12764.48</v>
      </c>
      <c r="G157" s="115">
        <v>797.78</v>
      </c>
      <c r="H157" s="115">
        <v>797.78</v>
      </c>
      <c r="I157" s="115"/>
      <c r="J157" s="115"/>
      <c r="K157" s="114"/>
      <c r="L157" s="114"/>
      <c r="M157" s="114"/>
      <c r="N157" s="114"/>
      <c r="O157" s="114"/>
      <c r="P157" s="114"/>
      <c r="Q157" s="115">
        <f t="shared" si="3"/>
        <v>14804.820000000002</v>
      </c>
      <c r="R157" s="108"/>
    </row>
    <row r="158" spans="1:18" ht="12.75">
      <c r="A158" s="116">
        <v>152</v>
      </c>
      <c r="B158" s="111" t="s">
        <v>627</v>
      </c>
      <c r="C158" s="111"/>
      <c r="D158" s="122">
        <v>15</v>
      </c>
      <c r="E158" s="114">
        <f>ROUND(0.04*521.42,0)*3.53*15</f>
        <v>1111.9499999999998</v>
      </c>
      <c r="F158" s="115">
        <v>17791.2</v>
      </c>
      <c r="G158" s="115">
        <v>1111.95</v>
      </c>
      <c r="H158" s="115">
        <v>1111.95</v>
      </c>
      <c r="I158" s="115"/>
      <c r="J158" s="115"/>
      <c r="K158" s="114"/>
      <c r="L158" s="114"/>
      <c r="M158" s="114"/>
      <c r="N158" s="114"/>
      <c r="O158" s="114"/>
      <c r="P158" s="114"/>
      <c r="Q158" s="115">
        <f t="shared" si="3"/>
        <v>21127.050000000003</v>
      </c>
      <c r="R158" s="108"/>
    </row>
    <row r="159" spans="1:18" ht="12.75">
      <c r="A159" s="120">
        <v>153</v>
      </c>
      <c r="B159" s="111" t="s">
        <v>850</v>
      </c>
      <c r="C159" s="111">
        <v>21523</v>
      </c>
      <c r="D159" s="122">
        <v>3</v>
      </c>
      <c r="E159" s="114">
        <f>ROUND(0.04*521.42,0)*3.53*3</f>
        <v>222.39</v>
      </c>
      <c r="F159" s="114">
        <f>ROUND(0.04*409.08,0)*3.53*3</f>
        <v>169.44</v>
      </c>
      <c r="G159" s="114">
        <f>ROUND(0.04*366.33,0)*3.53*3</f>
        <v>158.85</v>
      </c>
      <c r="H159" s="114">
        <f>ROUND(0.04*254.17,0)*3.53*3</f>
        <v>105.89999999999999</v>
      </c>
      <c r="I159" s="115"/>
      <c r="J159" s="115"/>
      <c r="K159" s="114"/>
      <c r="L159" s="114"/>
      <c r="M159" s="114"/>
      <c r="N159" s="114"/>
      <c r="O159" s="114"/>
      <c r="P159" s="114"/>
      <c r="Q159" s="115">
        <f t="shared" si="3"/>
        <v>656.5799999999999</v>
      </c>
      <c r="R159" s="108"/>
    </row>
    <row r="160" spans="1:18" ht="12.75">
      <c r="A160" s="116">
        <v>154</v>
      </c>
      <c r="B160" s="111" t="s">
        <v>851</v>
      </c>
      <c r="C160" s="111">
        <v>21524</v>
      </c>
      <c r="D160" s="122">
        <v>3</v>
      </c>
      <c r="E160" s="114">
        <f>ROUND(0.04*521.42,0)*3.53*3</f>
        <v>222.39</v>
      </c>
      <c r="F160" s="114">
        <f>ROUND(0.04*409.08,0)*3.53*3</f>
        <v>169.44</v>
      </c>
      <c r="G160" s="114">
        <f>ROUND(0.04*366.33,0)*3.53*3</f>
        <v>158.85</v>
      </c>
      <c r="H160" s="114">
        <f>ROUND(0.04*254.17,0)*3.53*3</f>
        <v>105.89999999999999</v>
      </c>
      <c r="I160" s="115"/>
      <c r="J160" s="115"/>
      <c r="K160" s="114"/>
      <c r="L160" s="114"/>
      <c r="M160" s="114"/>
      <c r="N160" s="114"/>
      <c r="O160" s="114"/>
      <c r="P160" s="114"/>
      <c r="Q160" s="115">
        <f t="shared" si="3"/>
        <v>656.5799999999999</v>
      </c>
      <c r="R160" s="108"/>
    </row>
    <row r="161" spans="1:18" ht="12.75">
      <c r="A161" s="120">
        <v>155</v>
      </c>
      <c r="B161" s="111" t="s">
        <v>852</v>
      </c>
      <c r="C161" s="111">
        <v>21525</v>
      </c>
      <c r="D161" s="122">
        <v>3</v>
      </c>
      <c r="E161" s="114">
        <f>ROUND(0.04*521.42,0)*3.53*3</f>
        <v>222.39</v>
      </c>
      <c r="F161" s="114">
        <f>ROUND(0.04*409.08,0)*3.53*3</f>
        <v>169.44</v>
      </c>
      <c r="G161" s="114">
        <f>ROUND(0.04*366.33,0)*3.53*3</f>
        <v>158.85</v>
      </c>
      <c r="H161" s="114">
        <f>ROUND(0.04*254.17,0)*3.53*3</f>
        <v>105.89999999999999</v>
      </c>
      <c r="I161" s="115"/>
      <c r="J161" s="115"/>
      <c r="K161" s="114"/>
      <c r="L161" s="114"/>
      <c r="M161" s="114"/>
      <c r="N161" s="114"/>
      <c r="O161" s="114"/>
      <c r="P161" s="114"/>
      <c r="Q161" s="115">
        <f t="shared" si="3"/>
        <v>656.5799999999999</v>
      </c>
      <c r="R161" s="108"/>
    </row>
    <row r="162" spans="1:18" ht="12.75">
      <c r="A162" s="116">
        <v>156</v>
      </c>
      <c r="B162" s="111" t="s">
        <v>853</v>
      </c>
      <c r="C162" s="111">
        <v>21526</v>
      </c>
      <c r="D162" s="122">
        <v>3</v>
      </c>
      <c r="E162" s="114">
        <f>ROUND(0.04*521.42,0)*3.53*3</f>
        <v>222.39</v>
      </c>
      <c r="F162" s="114">
        <f>ROUND(0.04*409.08,0)*3.53*3</f>
        <v>169.44</v>
      </c>
      <c r="G162" s="114">
        <f>ROUND(0.04*366.33,0)*3.53*3</f>
        <v>158.85</v>
      </c>
      <c r="H162" s="114">
        <f>ROUND(0.04*254.17,0)*3.53*3</f>
        <v>105.89999999999999</v>
      </c>
      <c r="I162" s="115"/>
      <c r="J162" s="115"/>
      <c r="K162" s="114"/>
      <c r="L162" s="114"/>
      <c r="M162" s="114"/>
      <c r="N162" s="114"/>
      <c r="O162" s="114"/>
      <c r="P162" s="114"/>
      <c r="Q162" s="115">
        <f t="shared" si="3"/>
        <v>656.5799999999999</v>
      </c>
      <c r="R162" s="108"/>
    </row>
    <row r="163" spans="1:18" ht="12.75">
      <c r="A163" s="120">
        <v>157</v>
      </c>
      <c r="B163" s="111" t="s">
        <v>854</v>
      </c>
      <c r="C163" s="111">
        <v>12033</v>
      </c>
      <c r="D163" s="122">
        <v>0</v>
      </c>
      <c r="E163" s="113"/>
      <c r="F163" s="115"/>
      <c r="G163" s="115"/>
      <c r="H163" s="115"/>
      <c r="I163" s="115"/>
      <c r="J163" s="115"/>
      <c r="K163" s="114"/>
      <c r="L163" s="115"/>
      <c r="M163" s="115"/>
      <c r="N163" s="115"/>
      <c r="O163" s="115"/>
      <c r="P163" s="115"/>
      <c r="Q163" s="115">
        <f t="shared" si="3"/>
        <v>0</v>
      </c>
      <c r="R163" s="108"/>
    </row>
    <row r="164" spans="1:18" ht="12.75">
      <c r="A164" s="116">
        <v>158</v>
      </c>
      <c r="B164" s="111" t="s">
        <v>855</v>
      </c>
      <c r="C164" s="111">
        <v>12450</v>
      </c>
      <c r="D164" s="129" t="s">
        <v>588</v>
      </c>
      <c r="E164" s="115">
        <v>5804.86</v>
      </c>
      <c r="F164" s="115">
        <v>8282.15</v>
      </c>
      <c r="G164" s="115">
        <v>5438.599999999999</v>
      </c>
      <c r="H164" s="115">
        <v>5445.91</v>
      </c>
      <c r="I164" s="115"/>
      <c r="J164" s="115"/>
      <c r="K164" s="114"/>
      <c r="L164" s="115"/>
      <c r="M164" s="115"/>
      <c r="N164" s="115"/>
      <c r="O164" s="115"/>
      <c r="P164" s="115"/>
      <c r="Q164" s="115">
        <f t="shared" si="3"/>
        <v>24971.519999999997</v>
      </c>
      <c r="R164" s="108"/>
    </row>
    <row r="165" spans="1:18" ht="12.75">
      <c r="A165" s="120">
        <v>159</v>
      </c>
      <c r="B165" s="111" t="s">
        <v>856</v>
      </c>
      <c r="C165" s="111">
        <v>12608</v>
      </c>
      <c r="D165" s="129" t="s">
        <v>588</v>
      </c>
      <c r="E165" s="115">
        <v>4440.89</v>
      </c>
      <c r="F165" s="115">
        <v>5254</v>
      </c>
      <c r="G165" s="115">
        <v>3542.8999999999996</v>
      </c>
      <c r="H165" s="115">
        <v>3446.52</v>
      </c>
      <c r="I165" s="115"/>
      <c r="J165" s="115"/>
      <c r="K165" s="114"/>
      <c r="L165" s="115"/>
      <c r="M165" s="115"/>
      <c r="N165" s="115"/>
      <c r="O165" s="115"/>
      <c r="P165" s="115"/>
      <c r="Q165" s="115">
        <f t="shared" si="3"/>
        <v>16684.309999999998</v>
      </c>
      <c r="R165" s="108"/>
    </row>
    <row r="166" spans="1:18" ht="12.75">
      <c r="A166" s="116">
        <v>160</v>
      </c>
      <c r="B166" s="111" t="s">
        <v>857</v>
      </c>
      <c r="C166" s="111">
        <v>12609</v>
      </c>
      <c r="D166" s="129" t="s">
        <v>588</v>
      </c>
      <c r="E166" s="115">
        <v>2081.14</v>
      </c>
      <c r="F166" s="115">
        <v>2492.1</v>
      </c>
      <c r="G166" s="115">
        <v>2243.6</v>
      </c>
      <c r="H166" s="115">
        <v>2559.48</v>
      </c>
      <c r="I166" s="115"/>
      <c r="J166" s="115"/>
      <c r="K166" s="114"/>
      <c r="L166" s="115"/>
      <c r="M166" s="115"/>
      <c r="N166" s="115"/>
      <c r="O166" s="115"/>
      <c r="P166" s="115"/>
      <c r="Q166" s="115">
        <f t="shared" si="3"/>
        <v>9376.32</v>
      </c>
      <c r="R166" s="108"/>
    </row>
    <row r="167" spans="1:18" ht="12.75">
      <c r="A167" s="120">
        <v>161</v>
      </c>
      <c r="B167" s="111" t="s">
        <v>858</v>
      </c>
      <c r="C167" s="111">
        <v>12610</v>
      </c>
      <c r="D167" s="129" t="s">
        <v>588</v>
      </c>
      <c r="E167" s="115">
        <v>2836.68</v>
      </c>
      <c r="F167" s="115">
        <v>3745.25</v>
      </c>
      <c r="G167" s="115">
        <v>3038.7999999999997</v>
      </c>
      <c r="H167" s="115">
        <v>2944.01</v>
      </c>
      <c r="I167" s="115"/>
      <c r="J167" s="115"/>
      <c r="K167" s="114"/>
      <c r="L167" s="115"/>
      <c r="M167" s="115"/>
      <c r="N167" s="115"/>
      <c r="O167" s="115"/>
      <c r="P167" s="115"/>
      <c r="Q167" s="115">
        <f t="shared" si="3"/>
        <v>12564.74</v>
      </c>
      <c r="R167" s="108"/>
    </row>
    <row r="168" spans="1:18" ht="12.75">
      <c r="A168" s="116">
        <v>162</v>
      </c>
      <c r="B168" s="111" t="s">
        <v>859</v>
      </c>
      <c r="C168" s="111">
        <v>12751</v>
      </c>
      <c r="D168" s="129" t="s">
        <v>588</v>
      </c>
      <c r="E168" s="115">
        <v>681.62</v>
      </c>
      <c r="F168" s="115">
        <v>972.7</v>
      </c>
      <c r="G168" s="115">
        <v>812.9499999999999</v>
      </c>
      <c r="H168" s="115">
        <v>757.68</v>
      </c>
      <c r="I168" s="115"/>
      <c r="J168" s="115"/>
      <c r="K168" s="114"/>
      <c r="L168" s="115"/>
      <c r="M168" s="115"/>
      <c r="N168" s="115"/>
      <c r="O168" s="115"/>
      <c r="P168" s="115"/>
      <c r="Q168" s="115">
        <f t="shared" si="3"/>
        <v>3224.95</v>
      </c>
      <c r="R168" s="108"/>
    </row>
    <row r="169" spans="1:18" ht="12.75">
      <c r="A169" s="120">
        <v>163</v>
      </c>
      <c r="B169" s="111" t="s">
        <v>860</v>
      </c>
      <c r="C169" s="111">
        <v>21176</v>
      </c>
      <c r="D169" s="122">
        <v>2</v>
      </c>
      <c r="E169" s="113">
        <f>ROUND(0.04*521.42,0)*3.53*2</f>
        <v>148.26</v>
      </c>
      <c r="F169" s="114">
        <f>ROUND(0.04*409.08,0)*3.53*2</f>
        <v>112.96</v>
      </c>
      <c r="G169" s="114">
        <f>ROUND(0.04*366.33,0)*3.53*2</f>
        <v>105.89999999999999</v>
      </c>
      <c r="H169" s="114">
        <f>ROUND(0.04*254.17,0)*3.53*2</f>
        <v>70.6</v>
      </c>
      <c r="I169" s="114"/>
      <c r="J169" s="115"/>
      <c r="K169" s="114"/>
      <c r="L169" s="114"/>
      <c r="M169" s="114"/>
      <c r="N169" s="114"/>
      <c r="O169" s="114"/>
      <c r="P169" s="114"/>
      <c r="Q169" s="115">
        <f t="shared" si="3"/>
        <v>437.7199999999999</v>
      </c>
      <c r="R169" s="108"/>
    </row>
    <row r="170" spans="1:17" ht="12.75">
      <c r="A170" s="116">
        <v>164</v>
      </c>
      <c r="B170" s="111" t="s">
        <v>658</v>
      </c>
      <c r="C170" s="121">
        <v>21179</v>
      </c>
      <c r="Q170" s="115">
        <f t="shared" si="3"/>
        <v>0</v>
      </c>
    </row>
    <row r="171" spans="1:18" ht="12.75">
      <c r="A171" s="120">
        <v>165</v>
      </c>
      <c r="B171" s="111" t="s">
        <v>861</v>
      </c>
      <c r="C171" s="111">
        <v>21184</v>
      </c>
      <c r="D171" s="122">
        <v>2</v>
      </c>
      <c r="E171" s="113">
        <f>ROUND(0.04*521.42,0)*3.53*2</f>
        <v>148.26</v>
      </c>
      <c r="F171" s="114">
        <f>ROUND(0.04*409.08,0)*3.53*2</f>
        <v>112.96</v>
      </c>
      <c r="G171" s="114">
        <f>ROUND(0.04*366.33,0)*3.53*2</f>
        <v>105.89999999999999</v>
      </c>
      <c r="H171" s="114">
        <f>ROUND(0.04*254.17,0)*3.53*2</f>
        <v>70.6</v>
      </c>
      <c r="I171" s="114"/>
      <c r="J171" s="115"/>
      <c r="K171" s="114"/>
      <c r="L171" s="114"/>
      <c r="M171" s="114"/>
      <c r="N171" s="114"/>
      <c r="O171" s="114"/>
      <c r="P171" s="114"/>
      <c r="Q171" s="115">
        <f t="shared" si="3"/>
        <v>437.7199999999999</v>
      </c>
      <c r="R171" s="108"/>
    </row>
    <row r="172" spans="1:17" ht="12.75">
      <c r="A172" s="116">
        <v>166</v>
      </c>
      <c r="B172" s="111" t="s">
        <v>659</v>
      </c>
      <c r="C172" s="121">
        <v>21186</v>
      </c>
      <c r="Q172" s="115">
        <f t="shared" si="3"/>
        <v>0</v>
      </c>
    </row>
    <row r="173" spans="1:18" ht="12.75">
      <c r="A173" s="120">
        <v>167</v>
      </c>
      <c r="B173" s="111" t="s">
        <v>873</v>
      </c>
      <c r="C173" s="117">
        <v>21188</v>
      </c>
      <c r="D173" s="128">
        <v>2</v>
      </c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5">
        <f t="shared" si="3"/>
        <v>0</v>
      </c>
      <c r="R173" s="108" t="s">
        <v>874</v>
      </c>
    </row>
    <row r="174" spans="1:18" ht="12.75">
      <c r="A174" s="116">
        <v>168</v>
      </c>
      <c r="B174" s="111" t="s">
        <v>875</v>
      </c>
      <c r="C174" s="111">
        <v>21173</v>
      </c>
      <c r="D174" s="122">
        <v>5</v>
      </c>
      <c r="E174" s="113">
        <f>ROUND(0.04*521.42,0)*3.53*5</f>
        <v>370.65</v>
      </c>
      <c r="F174" s="114">
        <f>ROUND(0.04*409.08,0)*3.53*5</f>
        <v>282.4</v>
      </c>
      <c r="G174" s="114">
        <f>ROUND(0.04*366.33,0)*3.53*5</f>
        <v>264.75</v>
      </c>
      <c r="H174" s="114">
        <f>ROUND(0.04*254.17,0)*3.53*5</f>
        <v>176.5</v>
      </c>
      <c r="I174" s="115"/>
      <c r="J174" s="115"/>
      <c r="K174" s="114"/>
      <c r="L174" s="114"/>
      <c r="M174" s="114"/>
      <c r="N174" s="114"/>
      <c r="O174" s="114"/>
      <c r="P174" s="114"/>
      <c r="Q174" s="115">
        <f t="shared" si="3"/>
        <v>1094.3</v>
      </c>
      <c r="R174" s="108"/>
    </row>
    <row r="175" spans="1:18" ht="12.75">
      <c r="A175" s="120">
        <v>169</v>
      </c>
      <c r="B175" s="111" t="s">
        <v>876</v>
      </c>
      <c r="C175" s="111">
        <v>21833</v>
      </c>
      <c r="D175" s="122" t="s">
        <v>585</v>
      </c>
      <c r="E175" s="115"/>
      <c r="F175" s="115"/>
      <c r="G175" s="115"/>
      <c r="H175" s="115">
        <v>0</v>
      </c>
      <c r="I175" s="115"/>
      <c r="J175" s="115"/>
      <c r="K175" s="114"/>
      <c r="L175" s="115"/>
      <c r="M175" s="115"/>
      <c r="N175" s="115"/>
      <c r="O175" s="115"/>
      <c r="P175" s="115"/>
      <c r="Q175" s="115">
        <f t="shared" si="3"/>
        <v>0</v>
      </c>
      <c r="R175" s="108"/>
    </row>
    <row r="176" spans="1:18" ht="12.75">
      <c r="A176" s="116">
        <v>170</v>
      </c>
      <c r="B176" s="111" t="s">
        <v>877</v>
      </c>
      <c r="C176" s="111">
        <v>21174</v>
      </c>
      <c r="D176" s="122">
        <v>4</v>
      </c>
      <c r="E176" s="113">
        <f>ROUND(0.04*521.42,0)*3.53*4</f>
        <v>296.52</v>
      </c>
      <c r="F176" s="114">
        <f>ROUND(0.04*409.08,0)*3.53*4</f>
        <v>225.92</v>
      </c>
      <c r="G176" s="114">
        <f>ROUND(0.04*366.33,0)*3.53*4</f>
        <v>211.79999999999998</v>
      </c>
      <c r="H176" s="114">
        <f>ROUND(0.04*254.17,0)*3.53*4</f>
        <v>141.2</v>
      </c>
      <c r="I176" s="115"/>
      <c r="J176" s="115"/>
      <c r="K176" s="114"/>
      <c r="L176" s="114"/>
      <c r="M176" s="114"/>
      <c r="N176" s="114"/>
      <c r="O176" s="114"/>
      <c r="P176" s="114"/>
      <c r="Q176" s="115">
        <f t="shared" si="3"/>
        <v>875.4399999999998</v>
      </c>
      <c r="R176" s="108"/>
    </row>
    <row r="177" spans="1:18" ht="12.75">
      <c r="A177" s="120">
        <v>171</v>
      </c>
      <c r="B177" s="111" t="s">
        <v>204</v>
      </c>
      <c r="C177" s="117">
        <v>11712</v>
      </c>
      <c r="D177" s="128" t="s">
        <v>584</v>
      </c>
      <c r="E177" s="142"/>
      <c r="F177" s="142"/>
      <c r="G177" s="142"/>
      <c r="H177" s="142"/>
      <c r="I177" s="119"/>
      <c r="J177" s="119"/>
      <c r="K177" s="119"/>
      <c r="L177" s="119"/>
      <c r="M177" s="142"/>
      <c r="N177" s="142"/>
      <c r="O177" s="142"/>
      <c r="P177" s="142"/>
      <c r="Q177" s="115">
        <f t="shared" si="3"/>
        <v>0</v>
      </c>
      <c r="R177" s="108" t="s">
        <v>878</v>
      </c>
    </row>
    <row r="178" spans="1:18" ht="12.75">
      <c r="A178" s="116">
        <v>172</v>
      </c>
      <c r="B178" s="111" t="s">
        <v>879</v>
      </c>
      <c r="C178" s="111">
        <v>11706</v>
      </c>
      <c r="D178" s="122">
        <v>3</v>
      </c>
      <c r="E178" s="113">
        <f>ROUND(0.04*521.42,0)*3.53*3</f>
        <v>222.39</v>
      </c>
      <c r="F178" s="114">
        <f>ROUND(0.04*409.08,0)*3.53*3</f>
        <v>169.44</v>
      </c>
      <c r="G178" s="114">
        <f>ROUND(0.04*366.33,0)*3.53*3</f>
        <v>158.85</v>
      </c>
      <c r="H178" s="114">
        <f>ROUND(0.04*254.17,0)*3.53*3</f>
        <v>105.89999999999999</v>
      </c>
      <c r="I178" s="115"/>
      <c r="J178" s="115"/>
      <c r="K178" s="114"/>
      <c r="L178" s="114"/>
      <c r="M178" s="114"/>
      <c r="N178" s="114"/>
      <c r="O178" s="114"/>
      <c r="P178" s="114"/>
      <c r="Q178" s="115">
        <f t="shared" si="3"/>
        <v>656.5799999999999</v>
      </c>
      <c r="R178" s="108"/>
    </row>
    <row r="179" spans="1:18" ht="12.75">
      <c r="A179" s="120">
        <v>173</v>
      </c>
      <c r="B179" s="111" t="s">
        <v>880</v>
      </c>
      <c r="C179" s="111">
        <v>21196</v>
      </c>
      <c r="D179" s="122" t="s">
        <v>585</v>
      </c>
      <c r="E179" s="115">
        <v>155.67</v>
      </c>
      <c r="F179" s="115">
        <v>170.6</v>
      </c>
      <c r="G179" s="115">
        <v>172.74</v>
      </c>
      <c r="H179" s="115">
        <v>142.88</v>
      </c>
      <c r="I179" s="115"/>
      <c r="J179" s="115"/>
      <c r="K179" s="114"/>
      <c r="L179" s="115"/>
      <c r="M179" s="115"/>
      <c r="N179" s="115"/>
      <c r="O179" s="115"/>
      <c r="P179" s="115"/>
      <c r="Q179" s="115">
        <f t="shared" si="3"/>
        <v>641.89</v>
      </c>
      <c r="R179" s="108"/>
    </row>
    <row r="180" spans="1:18" ht="12.75">
      <c r="A180" s="116">
        <v>174</v>
      </c>
      <c r="B180" s="111" t="s">
        <v>881</v>
      </c>
      <c r="C180" s="121">
        <v>21197</v>
      </c>
      <c r="D180" s="123">
        <v>3</v>
      </c>
      <c r="E180" s="114">
        <f>ROUND(0.04*521.42,0)*3.53*3</f>
        <v>222.39</v>
      </c>
      <c r="F180" s="114">
        <f>ROUND(0.04*409.08,0)*3.53*3</f>
        <v>169.44</v>
      </c>
      <c r="G180" s="114">
        <f>ROUND(0.04*366.33,0)*3.53*3</f>
        <v>158.85</v>
      </c>
      <c r="H180" s="114">
        <f>ROUND(0.04*254.17,0)*3.53*3</f>
        <v>105.89999999999999</v>
      </c>
      <c r="I180" s="114"/>
      <c r="J180" s="114"/>
      <c r="K180" s="114"/>
      <c r="L180" s="114"/>
      <c r="M180" s="114"/>
      <c r="N180" s="114"/>
      <c r="O180" s="114"/>
      <c r="P180" s="114"/>
      <c r="Q180" s="115">
        <f t="shared" si="3"/>
        <v>656.5799999999999</v>
      </c>
      <c r="R180" s="108"/>
    </row>
    <row r="181" spans="1:17" ht="12.75">
      <c r="A181" s="120">
        <v>175</v>
      </c>
      <c r="B181" s="111" t="s">
        <v>882</v>
      </c>
      <c r="Q181" s="115">
        <f t="shared" si="3"/>
        <v>0</v>
      </c>
    </row>
    <row r="182" spans="1:18" ht="12.75">
      <c r="A182" s="116">
        <v>176</v>
      </c>
      <c r="B182" s="111" t="s">
        <v>883</v>
      </c>
      <c r="C182" s="111">
        <v>12041</v>
      </c>
      <c r="D182" s="122">
        <v>3</v>
      </c>
      <c r="E182" s="113">
        <f>ROUND(0.04*521.42,0)*3.53*3</f>
        <v>222.39</v>
      </c>
      <c r="F182" s="114">
        <f>ROUND(0.04*409.08,0)*3.53*3</f>
        <v>169.44</v>
      </c>
      <c r="G182" s="114">
        <f>ROUND(0.04*366.33,0)*3.53*3</f>
        <v>158.85</v>
      </c>
      <c r="H182" s="114">
        <f>ROUND(0.04*254.17,0)*3.53*3</f>
        <v>105.89999999999999</v>
      </c>
      <c r="I182" s="115"/>
      <c r="J182" s="115"/>
      <c r="K182" s="114"/>
      <c r="L182" s="114"/>
      <c r="M182" s="114"/>
      <c r="N182" s="114"/>
      <c r="O182" s="114"/>
      <c r="P182" s="114"/>
      <c r="Q182" s="115">
        <f t="shared" si="3"/>
        <v>656.5799999999999</v>
      </c>
      <c r="R182" s="108"/>
    </row>
    <row r="183" spans="1:18" ht="12.75">
      <c r="A183" s="120">
        <v>177</v>
      </c>
      <c r="B183" s="111" t="s">
        <v>884</v>
      </c>
      <c r="C183" s="111">
        <v>12042</v>
      </c>
      <c r="D183" s="122">
        <v>14</v>
      </c>
      <c r="E183" s="113">
        <f>ROUND(0.04*521.42,0)*3.53*14</f>
        <v>1037.82</v>
      </c>
      <c r="F183" s="114">
        <f>ROUND(0.04*409.08,0)*3.53*14</f>
        <v>790.7199999999999</v>
      </c>
      <c r="G183" s="114">
        <f>ROUND(0.04*366.33,0)*3.53*14</f>
        <v>741.3</v>
      </c>
      <c r="H183" s="114">
        <f>ROUND(0.04*254.17,0)*3.53*14</f>
        <v>494.19999999999993</v>
      </c>
      <c r="I183" s="115"/>
      <c r="J183" s="115"/>
      <c r="K183" s="114"/>
      <c r="L183" s="114"/>
      <c r="M183" s="114"/>
      <c r="N183" s="114"/>
      <c r="O183" s="114"/>
      <c r="P183" s="114"/>
      <c r="Q183" s="115">
        <f t="shared" si="3"/>
        <v>3064.04</v>
      </c>
      <c r="R183" s="108"/>
    </row>
    <row r="184" spans="1:18" ht="12.75">
      <c r="A184" s="116">
        <v>178</v>
      </c>
      <c r="B184" s="111" t="s">
        <v>885</v>
      </c>
      <c r="C184" s="111">
        <v>12050</v>
      </c>
      <c r="D184" s="122">
        <v>10</v>
      </c>
      <c r="E184" s="113">
        <f>ROUND(0.04*521.42,0)*3.53*10</f>
        <v>741.3</v>
      </c>
      <c r="F184" s="114">
        <f>ROUND(0.04*409.08,0)*3.53*10</f>
        <v>564.8</v>
      </c>
      <c r="G184" s="114">
        <f>ROUND(0.04*366.33,0)*3.53*10</f>
        <v>529.5</v>
      </c>
      <c r="H184" s="114">
        <f>ROUND(0.04*254.17,0)*3.53*10</f>
        <v>353</v>
      </c>
      <c r="I184" s="115"/>
      <c r="J184" s="115"/>
      <c r="K184" s="114"/>
      <c r="L184" s="114"/>
      <c r="M184" s="114"/>
      <c r="N184" s="114"/>
      <c r="O184" s="114"/>
      <c r="P184" s="114"/>
      <c r="Q184" s="115">
        <f t="shared" si="3"/>
        <v>2188.6</v>
      </c>
      <c r="R184" s="108"/>
    </row>
    <row r="185" spans="1:18" ht="12.75">
      <c r="A185" s="120">
        <v>179</v>
      </c>
      <c r="B185" s="111" t="s">
        <v>886</v>
      </c>
      <c r="C185" s="111">
        <v>12038</v>
      </c>
      <c r="D185" s="122">
        <v>4</v>
      </c>
      <c r="E185" s="113">
        <f>ROUND(0.04*521.42,0)*3.53*4</f>
        <v>296.52</v>
      </c>
      <c r="F185" s="114">
        <f>ROUND(0.04*409.08,0)*3.53*4</f>
        <v>225.92</v>
      </c>
      <c r="G185" s="114">
        <f>ROUND(0.04*366.33,0)*3.53*4</f>
        <v>211.79999999999998</v>
      </c>
      <c r="H185" s="114">
        <f>ROUND(0.04*254.17,0)*3.53*4</f>
        <v>141.2</v>
      </c>
      <c r="I185" s="115"/>
      <c r="J185" s="115"/>
      <c r="K185" s="114"/>
      <c r="L185" s="114"/>
      <c r="M185" s="114"/>
      <c r="N185" s="114"/>
      <c r="O185" s="114"/>
      <c r="P185" s="114"/>
      <c r="Q185" s="115">
        <f t="shared" si="3"/>
        <v>875.4399999999998</v>
      </c>
      <c r="R185" s="108"/>
    </row>
    <row r="186" spans="1:18" ht="12.75">
      <c r="A186" s="116">
        <v>180</v>
      </c>
      <c r="B186" s="111" t="s">
        <v>887</v>
      </c>
      <c r="C186" s="111">
        <v>12052</v>
      </c>
      <c r="D186" s="122">
        <v>15</v>
      </c>
      <c r="E186" s="113">
        <f>ROUND(0.04*521.42,0)*3.53*15</f>
        <v>1111.9499999999998</v>
      </c>
      <c r="F186" s="114">
        <f>ROUND(0.04*409.08,0)*3.53*15</f>
        <v>847.1999999999999</v>
      </c>
      <c r="G186" s="114">
        <f>ROUND(0.04*366.33,0)*3.53*15</f>
        <v>794.2499999999999</v>
      </c>
      <c r="H186" s="114">
        <f>ROUND(0.04*254.17,0)*3.53*15</f>
        <v>529.5</v>
      </c>
      <c r="I186" s="115"/>
      <c r="J186" s="115"/>
      <c r="K186" s="114"/>
      <c r="L186" s="114"/>
      <c r="M186" s="114"/>
      <c r="N186" s="114"/>
      <c r="O186" s="114"/>
      <c r="P186" s="114"/>
      <c r="Q186" s="115">
        <f t="shared" si="3"/>
        <v>3282.8999999999996</v>
      </c>
      <c r="R186" s="108"/>
    </row>
    <row r="187" spans="1:18" ht="12.75">
      <c r="A187" s="120">
        <v>181</v>
      </c>
      <c r="B187" s="111" t="s">
        <v>888</v>
      </c>
      <c r="C187" s="111">
        <v>21352</v>
      </c>
      <c r="D187" s="122" t="s">
        <v>585</v>
      </c>
      <c r="E187" s="115">
        <v>8346.36</v>
      </c>
      <c r="F187" s="115">
        <v>9315.98</v>
      </c>
      <c r="G187" s="115">
        <v>10754.27</v>
      </c>
      <c r="H187" s="115">
        <v>2356.55</v>
      </c>
      <c r="I187" s="115"/>
      <c r="J187" s="115"/>
      <c r="K187" s="114"/>
      <c r="L187" s="115"/>
      <c r="M187" s="115"/>
      <c r="N187" s="115"/>
      <c r="O187" s="115"/>
      <c r="P187" s="115"/>
      <c r="Q187" s="115">
        <f t="shared" si="3"/>
        <v>30773.16</v>
      </c>
      <c r="R187" s="108"/>
    </row>
    <row r="188" spans="1:18" ht="12.75">
      <c r="A188" s="116">
        <v>182</v>
      </c>
      <c r="B188" s="111" t="s">
        <v>889</v>
      </c>
      <c r="C188" s="111">
        <v>21103</v>
      </c>
      <c r="D188" s="129" t="s">
        <v>588</v>
      </c>
      <c r="E188" s="115">
        <v>2710.77</v>
      </c>
      <c r="F188" s="115">
        <v>2857.98</v>
      </c>
      <c r="G188" s="115">
        <v>3012.82</v>
      </c>
      <c r="H188" s="115">
        <v>2095.39</v>
      </c>
      <c r="I188" s="115"/>
      <c r="J188" s="115"/>
      <c r="K188" s="114"/>
      <c r="L188" s="115"/>
      <c r="M188" s="115"/>
      <c r="N188" s="115"/>
      <c r="O188" s="115"/>
      <c r="P188" s="115"/>
      <c r="Q188" s="115">
        <f t="shared" si="3"/>
        <v>10676.96</v>
      </c>
      <c r="R188" s="108"/>
    </row>
    <row r="189" spans="1:18" ht="12.75">
      <c r="A189" s="120">
        <v>183</v>
      </c>
      <c r="B189" s="111" t="s">
        <v>890</v>
      </c>
      <c r="C189" s="111">
        <v>21104</v>
      </c>
      <c r="D189" s="122" t="s">
        <v>585</v>
      </c>
      <c r="E189" s="115">
        <v>428.74</v>
      </c>
      <c r="F189" s="115">
        <v>420.91</v>
      </c>
      <c r="G189" s="115">
        <v>313.83000000000004</v>
      </c>
      <c r="H189" s="115">
        <v>328.76</v>
      </c>
      <c r="I189" s="115"/>
      <c r="J189" s="115"/>
      <c r="K189" s="114"/>
      <c r="L189" s="115"/>
      <c r="M189" s="115"/>
      <c r="N189" s="115"/>
      <c r="O189" s="115"/>
      <c r="P189" s="115"/>
      <c r="Q189" s="115">
        <f t="shared" si="3"/>
        <v>1492.24</v>
      </c>
      <c r="R189" s="108"/>
    </row>
    <row r="190" spans="1:18" ht="12.75">
      <c r="A190" s="116">
        <v>184</v>
      </c>
      <c r="B190" s="111" t="s">
        <v>891</v>
      </c>
      <c r="C190" s="111">
        <v>21105</v>
      </c>
      <c r="D190" s="122" t="s">
        <v>585</v>
      </c>
      <c r="E190" s="115">
        <v>257.31</v>
      </c>
      <c r="F190" s="115">
        <v>212.52</v>
      </c>
      <c r="G190" s="115">
        <v>296.40999999999997</v>
      </c>
      <c r="H190" s="115">
        <v>236.69</v>
      </c>
      <c r="I190" s="115"/>
      <c r="J190" s="115"/>
      <c r="K190" s="114"/>
      <c r="L190" s="115"/>
      <c r="M190" s="115"/>
      <c r="N190" s="115"/>
      <c r="O190" s="115"/>
      <c r="P190" s="115"/>
      <c r="Q190" s="115">
        <f t="shared" si="3"/>
        <v>1002.9300000000001</v>
      </c>
      <c r="R190" s="108"/>
    </row>
    <row r="191" spans="1:18" ht="12.75">
      <c r="A191" s="120">
        <v>185</v>
      </c>
      <c r="B191" s="111" t="s">
        <v>892</v>
      </c>
      <c r="C191" s="111">
        <v>21106</v>
      </c>
      <c r="D191" s="122" t="s">
        <v>585</v>
      </c>
      <c r="E191" s="115">
        <v>431.51</v>
      </c>
      <c r="F191" s="115">
        <v>415.17</v>
      </c>
      <c r="G191" s="115">
        <v>376.22</v>
      </c>
      <c r="H191" s="115">
        <v>297.24</v>
      </c>
      <c r="I191" s="115"/>
      <c r="J191" s="115"/>
      <c r="K191" s="114"/>
      <c r="L191" s="115"/>
      <c r="M191" s="115"/>
      <c r="N191" s="115"/>
      <c r="O191" s="115"/>
      <c r="P191" s="115"/>
      <c r="Q191" s="115">
        <f t="shared" si="3"/>
        <v>1520.14</v>
      </c>
      <c r="R191" s="108"/>
    </row>
    <row r="192" spans="1:18" ht="14.25" customHeight="1">
      <c r="A192" s="116">
        <v>186</v>
      </c>
      <c r="B192" s="111" t="s">
        <v>893</v>
      </c>
      <c r="C192" s="111">
        <v>21107</v>
      </c>
      <c r="D192" s="122" t="s">
        <v>585</v>
      </c>
      <c r="E192" s="115">
        <v>673.16</v>
      </c>
      <c r="F192" s="115">
        <v>641.89</v>
      </c>
      <c r="G192" s="115">
        <v>1019.27</v>
      </c>
      <c r="H192" s="115">
        <v>465.32</v>
      </c>
      <c r="I192" s="115"/>
      <c r="J192" s="115"/>
      <c r="K192" s="114"/>
      <c r="L192" s="115"/>
      <c r="M192" s="115"/>
      <c r="N192" s="115"/>
      <c r="O192" s="115"/>
      <c r="P192" s="115"/>
      <c r="Q192" s="115">
        <f t="shared" si="3"/>
        <v>2799.64</v>
      </c>
      <c r="R192" s="108"/>
    </row>
    <row r="193" spans="1:18" ht="12.75">
      <c r="A193" s="120">
        <v>187</v>
      </c>
      <c r="B193" s="111" t="s">
        <v>894</v>
      </c>
      <c r="C193" s="117">
        <v>31021</v>
      </c>
      <c r="D193" s="128" t="s">
        <v>591</v>
      </c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>
        <f t="shared" si="3"/>
        <v>0</v>
      </c>
      <c r="R193" s="108"/>
    </row>
    <row r="194" spans="1:18" ht="13.5" customHeight="1">
      <c r="A194" s="116">
        <v>188</v>
      </c>
      <c r="B194" s="111" t="s">
        <v>895</v>
      </c>
      <c r="C194" s="111">
        <v>21108</v>
      </c>
      <c r="D194" s="129" t="s">
        <v>588</v>
      </c>
      <c r="E194" s="114">
        <v>1994.18</v>
      </c>
      <c r="F194" s="115">
        <v>1978.52</v>
      </c>
      <c r="G194" s="115">
        <v>1719.75</v>
      </c>
      <c r="H194" s="115">
        <v>1894.63</v>
      </c>
      <c r="I194" s="115"/>
      <c r="J194" s="115"/>
      <c r="K194" s="114"/>
      <c r="L194" s="115"/>
      <c r="M194" s="115"/>
      <c r="N194" s="115"/>
      <c r="O194" s="115"/>
      <c r="P194" s="115"/>
      <c r="Q194" s="115">
        <f t="shared" si="3"/>
        <v>7587.08</v>
      </c>
      <c r="R194" s="108"/>
    </row>
    <row r="195" spans="1:18" ht="12.75">
      <c r="A195" s="120">
        <v>189</v>
      </c>
      <c r="B195" s="111" t="s">
        <v>896</v>
      </c>
      <c r="C195" s="111">
        <v>21109</v>
      </c>
      <c r="D195" s="129" t="s">
        <v>588</v>
      </c>
      <c r="E195" s="115">
        <v>1824.01</v>
      </c>
      <c r="F195" s="115">
        <v>1796.29</v>
      </c>
      <c r="G195" s="115">
        <v>2264.41</v>
      </c>
      <c r="H195" s="115">
        <v>2730.79</v>
      </c>
      <c r="I195" s="115"/>
      <c r="J195" s="115"/>
      <c r="K195" s="114"/>
      <c r="L195" s="115"/>
      <c r="M195" s="115"/>
      <c r="N195" s="115"/>
      <c r="O195" s="115"/>
      <c r="P195" s="115"/>
      <c r="Q195" s="115">
        <f t="shared" si="3"/>
        <v>8615.5</v>
      </c>
      <c r="R195" s="108"/>
    </row>
    <row r="196" spans="1:18" ht="12.75">
      <c r="A196" s="116">
        <v>190</v>
      </c>
      <c r="B196" s="111" t="s">
        <v>897</v>
      </c>
      <c r="C196" s="111">
        <v>21110</v>
      </c>
      <c r="D196" s="129" t="s">
        <v>588</v>
      </c>
      <c r="E196" s="115">
        <v>2057.2</v>
      </c>
      <c r="F196" s="115">
        <v>2017.37</v>
      </c>
      <c r="G196" s="115">
        <v>2237.0899999999997</v>
      </c>
      <c r="H196" s="115">
        <v>2252.6</v>
      </c>
      <c r="I196" s="115"/>
      <c r="J196" s="115"/>
      <c r="K196" s="114"/>
      <c r="L196" s="115"/>
      <c r="M196" s="115"/>
      <c r="N196" s="115"/>
      <c r="O196" s="115"/>
      <c r="P196" s="115"/>
      <c r="Q196" s="115">
        <f t="shared" si="3"/>
        <v>8564.26</v>
      </c>
      <c r="R196" s="108"/>
    </row>
    <row r="197" spans="1:18" ht="12.75">
      <c r="A197" s="120">
        <v>191</v>
      </c>
      <c r="B197" s="111" t="s">
        <v>898</v>
      </c>
      <c r="C197" s="111">
        <v>21100</v>
      </c>
      <c r="D197" s="129" t="s">
        <v>588</v>
      </c>
      <c r="E197" s="115">
        <v>2249.05</v>
      </c>
      <c r="F197" s="115">
        <v>2231.25</v>
      </c>
      <c r="G197" s="115">
        <v>3109.53</v>
      </c>
      <c r="H197" s="115">
        <v>2850.28</v>
      </c>
      <c r="I197" s="115"/>
      <c r="J197" s="115"/>
      <c r="K197" s="114"/>
      <c r="L197" s="115"/>
      <c r="M197" s="115"/>
      <c r="N197" s="115"/>
      <c r="O197" s="115"/>
      <c r="P197" s="115"/>
      <c r="Q197" s="115">
        <f t="shared" si="3"/>
        <v>10440.11</v>
      </c>
      <c r="R197" s="108"/>
    </row>
    <row r="198" spans="1:18" ht="12.75">
      <c r="A198" s="116">
        <v>192</v>
      </c>
      <c r="B198" s="111" t="s">
        <v>899</v>
      </c>
      <c r="C198" s="111">
        <v>21101</v>
      </c>
      <c r="D198" s="122" t="s">
        <v>585</v>
      </c>
      <c r="E198" s="115">
        <v>6585.9</v>
      </c>
      <c r="F198" s="115">
        <v>6569.56</v>
      </c>
      <c r="G198" s="115">
        <v>7145.530000000001</v>
      </c>
      <c r="H198" s="115">
        <v>1518.48</v>
      </c>
      <c r="I198" s="115"/>
      <c r="J198" s="115"/>
      <c r="K198" s="114"/>
      <c r="L198" s="115"/>
      <c r="M198" s="115"/>
      <c r="N198" s="115"/>
      <c r="O198" s="115"/>
      <c r="P198" s="115"/>
      <c r="Q198" s="115">
        <f t="shared" si="3"/>
        <v>21819.469999999998</v>
      </c>
      <c r="R198" s="108"/>
    </row>
    <row r="199" spans="1:18" ht="12.75">
      <c r="A199" s="120">
        <v>193</v>
      </c>
      <c r="B199" s="111" t="s">
        <v>900</v>
      </c>
      <c r="C199" s="111">
        <v>21102</v>
      </c>
      <c r="D199" s="122" t="s">
        <v>585</v>
      </c>
      <c r="E199" s="115">
        <v>366.78</v>
      </c>
      <c r="F199" s="115">
        <v>355.4</v>
      </c>
      <c r="G199" s="115">
        <v>366.2</v>
      </c>
      <c r="H199" s="115">
        <v>374.76</v>
      </c>
      <c r="I199" s="115"/>
      <c r="J199" s="115"/>
      <c r="K199" s="114"/>
      <c r="L199" s="115"/>
      <c r="M199" s="115"/>
      <c r="N199" s="115"/>
      <c r="O199" s="115"/>
      <c r="P199" s="115"/>
      <c r="Q199" s="115">
        <f t="shared" si="3"/>
        <v>1463.1399999999999</v>
      </c>
      <c r="R199" s="108"/>
    </row>
    <row r="200" spans="1:17" ht="12.75">
      <c r="A200" s="116">
        <v>194</v>
      </c>
      <c r="B200" s="111" t="s">
        <v>660</v>
      </c>
      <c r="C200" s="121">
        <v>21209</v>
      </c>
      <c r="Q200" s="115">
        <f>E200+F200+G200+H200+I200+J200+K200+L200+M200+N200+O200+P200</f>
        <v>0</v>
      </c>
    </row>
    <row r="201" spans="1:18" ht="12.75">
      <c r="A201" s="120">
        <v>195</v>
      </c>
      <c r="B201" s="111" t="s">
        <v>901</v>
      </c>
      <c r="C201" s="117">
        <v>21207</v>
      </c>
      <c r="D201" s="128">
        <v>1</v>
      </c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5">
        <f>E201+F201+G201+H201+I201+J201+K201+L201+M201+N201+O201+P201</f>
        <v>0</v>
      </c>
      <c r="R201" s="108" t="s">
        <v>902</v>
      </c>
    </row>
    <row r="202" spans="1:17" ht="12.75">
      <c r="A202" s="116">
        <v>196</v>
      </c>
      <c r="B202" s="111" t="s">
        <v>661</v>
      </c>
      <c r="C202" s="121">
        <v>21204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15">
        <f>E202+F202+G202+H202+I202+J202+K202+L202+M202+N202+O202+P202</f>
        <v>0</v>
      </c>
    </row>
    <row r="203" spans="1:18" ht="12.75">
      <c r="A203" s="120">
        <v>197</v>
      </c>
      <c r="B203" s="111" t="s">
        <v>903</v>
      </c>
      <c r="C203" s="111">
        <v>21530</v>
      </c>
      <c r="D203" s="126" t="s">
        <v>583</v>
      </c>
      <c r="E203" s="144">
        <v>10491.8</v>
      </c>
      <c r="F203" s="115">
        <v>13402.8</v>
      </c>
      <c r="G203" s="115">
        <v>13843.4</v>
      </c>
      <c r="H203" s="115">
        <v>11470.2</v>
      </c>
      <c r="I203" s="115"/>
      <c r="J203" s="115"/>
      <c r="K203" s="114"/>
      <c r="L203" s="115"/>
      <c r="M203" s="115"/>
      <c r="N203" s="115"/>
      <c r="O203" s="115"/>
      <c r="P203" s="115"/>
      <c r="Q203" s="115">
        <f>E203+F203+G203+H203+I216+J203+K203+L203+M203+N203+O203+P203</f>
        <v>49208.2</v>
      </c>
      <c r="R203" s="108"/>
    </row>
    <row r="204" spans="1:18" ht="12.75">
      <c r="A204" s="116">
        <v>198</v>
      </c>
      <c r="B204" s="111" t="s">
        <v>904</v>
      </c>
      <c r="C204" s="111">
        <v>21531</v>
      </c>
      <c r="D204" s="126" t="s">
        <v>583</v>
      </c>
      <c r="E204" s="144">
        <v>15891.8</v>
      </c>
      <c r="F204" s="115">
        <v>20536</v>
      </c>
      <c r="G204" s="115">
        <v>21019.4</v>
      </c>
      <c r="H204" s="115">
        <v>17139.6</v>
      </c>
      <c r="I204" s="114"/>
      <c r="J204" s="115"/>
      <c r="K204" s="114"/>
      <c r="L204" s="115"/>
      <c r="M204" s="115"/>
      <c r="N204" s="115"/>
      <c r="O204" s="115"/>
      <c r="P204" s="115"/>
      <c r="Q204" s="115">
        <f>E204+F204+G204+H204+I217+J204+K204+L204+M204+N204+O204+P204</f>
        <v>74586.8</v>
      </c>
      <c r="R204" s="108"/>
    </row>
    <row r="205" spans="1:18" ht="12.75">
      <c r="A205" s="120">
        <v>199</v>
      </c>
      <c r="B205" s="111" t="s">
        <v>905</v>
      </c>
      <c r="C205" s="111">
        <v>21532</v>
      </c>
      <c r="D205" s="126" t="s">
        <v>583</v>
      </c>
      <c r="E205" s="144">
        <v>24878</v>
      </c>
      <c r="F205" s="115">
        <v>22954</v>
      </c>
      <c r="G205" s="115">
        <v>20366.8</v>
      </c>
      <c r="H205" s="115">
        <v>17637.6</v>
      </c>
      <c r="I205" s="114"/>
      <c r="J205" s="115"/>
      <c r="K205" s="114"/>
      <c r="L205" s="115"/>
      <c r="M205" s="115"/>
      <c r="N205" s="115"/>
      <c r="O205" s="115"/>
      <c r="P205" s="115"/>
      <c r="Q205" s="115">
        <f>E205+F205+G205+H205+I203+J205+K205+L205+M205+N205+O205+P205</f>
        <v>85836.4</v>
      </c>
      <c r="R205" s="108"/>
    </row>
    <row r="206" spans="1:18" ht="12.75">
      <c r="A206" s="116">
        <v>200</v>
      </c>
      <c r="B206" s="111" t="s">
        <v>906</v>
      </c>
      <c r="C206" s="111">
        <v>21533</v>
      </c>
      <c r="D206" s="126" t="s">
        <v>583</v>
      </c>
      <c r="E206" s="144">
        <v>7917.2</v>
      </c>
      <c r="F206" s="115">
        <v>9025</v>
      </c>
      <c r="G206" s="115">
        <v>7802.4</v>
      </c>
      <c r="H206" s="115">
        <v>6864.8</v>
      </c>
      <c r="I206" s="115"/>
      <c r="J206" s="115"/>
      <c r="K206" s="114"/>
      <c r="L206" s="115"/>
      <c r="M206" s="115"/>
      <c r="N206" s="115"/>
      <c r="O206" s="115"/>
      <c r="P206" s="115"/>
      <c r="Q206" s="115">
        <f aca="true" t="shared" si="4" ref="Q206:Q269">E206+F206+G206+H206+I206+J206+K206+L206+M206+N206+O206+P206</f>
        <v>31609.399999999998</v>
      </c>
      <c r="R206" s="108"/>
    </row>
    <row r="207" spans="1:18" ht="12.75">
      <c r="A207" s="120">
        <v>201</v>
      </c>
      <c r="B207" s="111" t="s">
        <v>907</v>
      </c>
      <c r="C207" s="111">
        <v>21534</v>
      </c>
      <c r="D207" s="126" t="s">
        <v>583</v>
      </c>
      <c r="E207" s="144">
        <v>6665.4</v>
      </c>
      <c r="F207" s="115">
        <v>7503.8</v>
      </c>
      <c r="G207" s="115">
        <v>7503.8</v>
      </c>
      <c r="H207" s="115">
        <v>6765.6</v>
      </c>
      <c r="I207" s="115"/>
      <c r="J207" s="115"/>
      <c r="K207" s="114"/>
      <c r="L207" s="115"/>
      <c r="M207" s="115"/>
      <c r="N207" s="115"/>
      <c r="O207" s="115"/>
      <c r="P207" s="115"/>
      <c r="Q207" s="115">
        <f t="shared" si="4"/>
        <v>28438.6</v>
      </c>
      <c r="R207" s="108"/>
    </row>
    <row r="208" spans="1:18" ht="12.75">
      <c r="A208" s="116">
        <v>202</v>
      </c>
      <c r="B208" s="111" t="s">
        <v>908</v>
      </c>
      <c r="C208" s="111">
        <v>21535</v>
      </c>
      <c r="D208" s="126" t="s">
        <v>583</v>
      </c>
      <c r="E208" s="144">
        <v>9424.8</v>
      </c>
      <c r="F208" s="115">
        <v>13105.2</v>
      </c>
      <c r="G208" s="115">
        <v>13303.6</v>
      </c>
      <c r="H208" s="115">
        <v>11597.6</v>
      </c>
      <c r="I208" s="115"/>
      <c r="J208" s="115"/>
      <c r="K208" s="114"/>
      <c r="L208" s="115"/>
      <c r="M208" s="115"/>
      <c r="N208" s="115"/>
      <c r="O208" s="115"/>
      <c r="P208" s="115"/>
      <c r="Q208" s="115">
        <f t="shared" si="4"/>
        <v>47431.2</v>
      </c>
      <c r="R208" s="108"/>
    </row>
    <row r="209" spans="1:18" ht="12.75">
      <c r="A209" s="120">
        <v>203</v>
      </c>
      <c r="B209" s="111" t="s">
        <v>909</v>
      </c>
      <c r="C209" s="111">
        <v>21536</v>
      </c>
      <c r="D209" s="126" t="s">
        <v>583</v>
      </c>
      <c r="E209" s="144">
        <v>12806.6</v>
      </c>
      <c r="F209" s="115">
        <v>8711.8</v>
      </c>
      <c r="G209" s="115">
        <v>9152.4</v>
      </c>
      <c r="H209" s="115">
        <v>7191.6</v>
      </c>
      <c r="I209" s="115"/>
      <c r="J209" s="115"/>
      <c r="K209" s="114"/>
      <c r="L209" s="115"/>
      <c r="M209" s="115"/>
      <c r="N209" s="115"/>
      <c r="O209" s="115"/>
      <c r="P209" s="115"/>
      <c r="Q209" s="115">
        <f t="shared" si="4"/>
        <v>37862.4</v>
      </c>
      <c r="R209" s="108"/>
    </row>
    <row r="210" spans="1:18" ht="12.75">
      <c r="A210" s="116">
        <v>204</v>
      </c>
      <c r="B210" s="111" t="s">
        <v>910</v>
      </c>
      <c r="C210" s="111">
        <v>21537</v>
      </c>
      <c r="D210" s="126" t="s">
        <v>583</v>
      </c>
      <c r="E210" s="144">
        <v>11716.4</v>
      </c>
      <c r="F210" s="115">
        <v>11228</v>
      </c>
      <c r="G210" s="115">
        <v>9451</v>
      </c>
      <c r="H210" s="115">
        <v>8498.8</v>
      </c>
      <c r="I210" s="115"/>
      <c r="J210" s="115"/>
      <c r="K210" s="114"/>
      <c r="L210" s="115"/>
      <c r="M210" s="115"/>
      <c r="N210" s="115"/>
      <c r="O210" s="115"/>
      <c r="P210" s="115"/>
      <c r="Q210" s="115">
        <f t="shared" si="4"/>
        <v>40894.2</v>
      </c>
      <c r="R210" s="108"/>
    </row>
    <row r="211" spans="1:18" ht="12.75">
      <c r="A211" s="120">
        <v>205</v>
      </c>
      <c r="B211" s="111" t="s">
        <v>911</v>
      </c>
      <c r="C211" s="111">
        <v>21538</v>
      </c>
      <c r="D211" s="126" t="s">
        <v>583</v>
      </c>
      <c r="E211" s="144">
        <v>23179.6</v>
      </c>
      <c r="F211" s="115">
        <v>22539.6</v>
      </c>
      <c r="G211" s="115">
        <v>23349.8</v>
      </c>
      <c r="H211" s="115">
        <v>14512.6</v>
      </c>
      <c r="I211" s="115"/>
      <c r="J211" s="115"/>
      <c r="K211" s="114"/>
      <c r="L211" s="115"/>
      <c r="M211" s="115"/>
      <c r="N211" s="115"/>
      <c r="O211" s="115"/>
      <c r="P211" s="115"/>
      <c r="Q211" s="115">
        <f t="shared" si="4"/>
        <v>83581.6</v>
      </c>
      <c r="R211" s="108"/>
    </row>
    <row r="212" spans="1:18" ht="12.75">
      <c r="A212" s="116">
        <v>206</v>
      </c>
      <c r="B212" s="111" t="s">
        <v>912</v>
      </c>
      <c r="C212" s="111">
        <v>21539</v>
      </c>
      <c r="D212" s="126" t="s">
        <v>583</v>
      </c>
      <c r="E212" s="144">
        <v>16075.6</v>
      </c>
      <c r="F212" s="115">
        <v>16798.2</v>
      </c>
      <c r="G212" s="115">
        <v>17850.6</v>
      </c>
      <c r="H212" s="115">
        <v>14128.4</v>
      </c>
      <c r="I212" s="115"/>
      <c r="J212" s="115"/>
      <c r="K212" s="114"/>
      <c r="L212" s="115"/>
      <c r="M212" s="115"/>
      <c r="N212" s="115"/>
      <c r="O212" s="115"/>
      <c r="P212" s="115"/>
      <c r="Q212" s="115">
        <f t="shared" si="4"/>
        <v>64852.8</v>
      </c>
      <c r="R212" s="108"/>
    </row>
    <row r="213" spans="1:18" ht="12.75">
      <c r="A213" s="120">
        <v>207</v>
      </c>
      <c r="B213" s="111" t="s">
        <v>913</v>
      </c>
      <c r="C213" s="111">
        <v>21540</v>
      </c>
      <c r="D213" s="126" t="s">
        <v>583</v>
      </c>
      <c r="E213" s="144">
        <v>29353</v>
      </c>
      <c r="F213" s="115">
        <v>28822.8</v>
      </c>
      <c r="G213" s="115">
        <v>22490.2</v>
      </c>
      <c r="H213" s="115">
        <v>30962.4</v>
      </c>
      <c r="I213" s="115"/>
      <c r="J213" s="115"/>
      <c r="K213" s="114"/>
      <c r="L213" s="115"/>
      <c r="M213" s="115"/>
      <c r="N213" s="115"/>
      <c r="O213" s="115"/>
      <c r="P213" s="115"/>
      <c r="Q213" s="115">
        <f t="shared" si="4"/>
        <v>111628.4</v>
      </c>
      <c r="R213" s="108"/>
    </row>
    <row r="214" spans="1:18" ht="12.75">
      <c r="A214" s="116">
        <v>208</v>
      </c>
      <c r="B214" s="111" t="s">
        <v>914</v>
      </c>
      <c r="C214" s="111">
        <v>21541</v>
      </c>
      <c r="D214" s="126" t="s">
        <v>583</v>
      </c>
      <c r="E214" s="144">
        <v>30251.8</v>
      </c>
      <c r="F214" s="115">
        <v>26038.2</v>
      </c>
      <c r="G214" s="115">
        <v>28468.8</v>
      </c>
      <c r="H214" s="115">
        <v>22201.2</v>
      </c>
      <c r="I214" s="115"/>
      <c r="J214" s="115"/>
      <c r="K214" s="114"/>
      <c r="L214" s="115"/>
      <c r="M214" s="115"/>
      <c r="N214" s="115"/>
      <c r="O214" s="115"/>
      <c r="P214" s="115"/>
      <c r="Q214" s="115">
        <f t="shared" si="4"/>
        <v>106960</v>
      </c>
      <c r="R214" s="108"/>
    </row>
    <row r="215" spans="1:18" ht="12.75">
      <c r="A215" s="120">
        <v>209</v>
      </c>
      <c r="B215" s="111" t="s">
        <v>915</v>
      </c>
      <c r="C215" s="111">
        <v>21542</v>
      </c>
      <c r="D215" s="126" t="s">
        <v>583</v>
      </c>
      <c r="E215" s="144">
        <v>17485</v>
      </c>
      <c r="F215" s="115">
        <v>23550.2</v>
      </c>
      <c r="G215" s="115">
        <v>25623.8</v>
      </c>
      <c r="H215" s="115">
        <v>20398</v>
      </c>
      <c r="I215" s="115"/>
      <c r="J215" s="115"/>
      <c r="K215" s="114"/>
      <c r="L215" s="115"/>
      <c r="M215" s="115"/>
      <c r="N215" s="115"/>
      <c r="O215" s="115"/>
      <c r="P215" s="115"/>
      <c r="Q215" s="115">
        <f t="shared" si="4"/>
        <v>87057</v>
      </c>
      <c r="R215" s="108"/>
    </row>
    <row r="216" spans="1:18" ht="12.75">
      <c r="A216" s="116">
        <v>210</v>
      </c>
      <c r="B216" s="111" t="s">
        <v>916</v>
      </c>
      <c r="C216" s="111">
        <v>21528</v>
      </c>
      <c r="D216" s="126" t="s">
        <v>583</v>
      </c>
      <c r="E216" s="144">
        <v>21721.8</v>
      </c>
      <c r="F216" s="115">
        <v>23963.6</v>
      </c>
      <c r="G216" s="115">
        <v>22712.8</v>
      </c>
      <c r="H216" s="115">
        <v>18604.4</v>
      </c>
      <c r="I216" s="115"/>
      <c r="J216" s="115"/>
      <c r="K216" s="114"/>
      <c r="L216" s="115"/>
      <c r="M216" s="115"/>
      <c r="N216" s="115"/>
      <c r="O216" s="115"/>
      <c r="P216" s="115"/>
      <c r="Q216" s="115">
        <f t="shared" si="4"/>
        <v>87002.6</v>
      </c>
      <c r="R216" s="108"/>
    </row>
    <row r="217" spans="1:18" ht="12.75">
      <c r="A217" s="120">
        <v>211</v>
      </c>
      <c r="B217" s="111" t="s">
        <v>917</v>
      </c>
      <c r="C217" s="111">
        <v>21529</v>
      </c>
      <c r="D217" s="126" t="s">
        <v>583</v>
      </c>
      <c r="E217" s="144">
        <v>14528.2</v>
      </c>
      <c r="F217" s="115">
        <v>17394.4</v>
      </c>
      <c r="G217" s="115">
        <v>18617</v>
      </c>
      <c r="H217" s="115">
        <v>15050.4</v>
      </c>
      <c r="I217" s="115"/>
      <c r="J217" s="115"/>
      <c r="K217" s="114"/>
      <c r="L217" s="115"/>
      <c r="M217" s="115"/>
      <c r="N217" s="115"/>
      <c r="O217" s="115"/>
      <c r="P217" s="115"/>
      <c r="Q217" s="115">
        <f t="shared" si="4"/>
        <v>65590</v>
      </c>
      <c r="R217" s="108"/>
    </row>
    <row r="218" spans="1:18" ht="12.75">
      <c r="A218" s="116">
        <v>212</v>
      </c>
      <c r="B218" s="111" t="s">
        <v>918</v>
      </c>
      <c r="C218" s="111">
        <v>21367</v>
      </c>
      <c r="D218" s="122">
        <v>4</v>
      </c>
      <c r="E218" s="113">
        <f>ROUND(0.04*521.42,0)*3.53*4</f>
        <v>296.52</v>
      </c>
      <c r="F218" s="114">
        <f>ROUND(0.04*409.08,0)*3.53*4</f>
        <v>225.92</v>
      </c>
      <c r="G218" s="114">
        <f>ROUND(0.04*366.33,0)*3.53*4</f>
        <v>211.79999999999998</v>
      </c>
      <c r="H218" s="114">
        <f>ROUND(0.04*254.17,0)*3.53*4</f>
        <v>141.2</v>
      </c>
      <c r="I218" s="115"/>
      <c r="J218" s="115"/>
      <c r="K218" s="114"/>
      <c r="L218" s="114"/>
      <c r="M218" s="114"/>
      <c r="N218" s="114"/>
      <c r="O218" s="114"/>
      <c r="P218" s="114"/>
      <c r="Q218" s="115">
        <f t="shared" si="4"/>
        <v>875.4399999999998</v>
      </c>
      <c r="R218" s="108"/>
    </row>
    <row r="219" spans="1:18" ht="12.75">
      <c r="A219" s="120">
        <v>213</v>
      </c>
      <c r="B219" s="145" t="s">
        <v>919</v>
      </c>
      <c r="C219" s="111">
        <v>21371</v>
      </c>
      <c r="D219" s="122">
        <v>3</v>
      </c>
      <c r="E219" s="114">
        <f>ROUND(0.04*521.42,0)*3.53*3</f>
        <v>222.39</v>
      </c>
      <c r="F219" s="114">
        <f>ROUND(0.04*409.08,0)*3.53*3</f>
        <v>169.44</v>
      </c>
      <c r="G219" s="114">
        <f>ROUND(0.04*366.33,0)*3.53*3</f>
        <v>158.85</v>
      </c>
      <c r="H219" s="114">
        <f>ROUND(0.04*254.17,0)*3.53*3</f>
        <v>105.89999999999999</v>
      </c>
      <c r="I219" s="115"/>
      <c r="J219" s="115"/>
      <c r="K219" s="114"/>
      <c r="L219" s="114"/>
      <c r="M219" s="114"/>
      <c r="N219" s="114"/>
      <c r="O219" s="114"/>
      <c r="P219" s="114"/>
      <c r="Q219" s="115">
        <f t="shared" si="4"/>
        <v>656.5799999999999</v>
      </c>
      <c r="R219" s="108"/>
    </row>
    <row r="220" spans="1:17" ht="12.75">
      <c r="A220" s="116">
        <v>214</v>
      </c>
      <c r="B220" s="111" t="s">
        <v>662</v>
      </c>
      <c r="C220" s="121">
        <v>21373</v>
      </c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15">
        <f t="shared" si="4"/>
        <v>0</v>
      </c>
    </row>
    <row r="221" spans="1:17" ht="12.75">
      <c r="A221" s="120">
        <v>215</v>
      </c>
      <c r="B221" s="111" t="s">
        <v>663</v>
      </c>
      <c r="C221" s="121">
        <v>21374</v>
      </c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15">
        <f t="shared" si="4"/>
        <v>0</v>
      </c>
    </row>
    <row r="222" spans="1:17" ht="12.75">
      <c r="A222" s="116">
        <v>216</v>
      </c>
      <c r="B222" s="111" t="s">
        <v>664</v>
      </c>
      <c r="C222" s="121">
        <v>21361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15">
        <f t="shared" si="4"/>
        <v>0</v>
      </c>
    </row>
    <row r="223" spans="1:17" ht="12.75">
      <c r="A223" s="120">
        <v>217</v>
      </c>
      <c r="B223" s="111" t="s">
        <v>920</v>
      </c>
      <c r="C223" s="121">
        <v>21816</v>
      </c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15">
        <f t="shared" si="4"/>
        <v>0</v>
      </c>
    </row>
    <row r="224" spans="1:18" ht="12.75">
      <c r="A224" s="116">
        <v>218</v>
      </c>
      <c r="B224" s="111" t="s">
        <v>602</v>
      </c>
      <c r="C224" s="117">
        <v>12216</v>
      </c>
      <c r="D224" s="128">
        <v>3</v>
      </c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>
        <f t="shared" si="4"/>
        <v>0</v>
      </c>
      <c r="R224" s="108" t="s">
        <v>921</v>
      </c>
    </row>
    <row r="225" spans="1:18" ht="12.75">
      <c r="A225" s="120">
        <v>219</v>
      </c>
      <c r="B225" s="111" t="s">
        <v>245</v>
      </c>
      <c r="C225" s="111">
        <v>12219</v>
      </c>
      <c r="D225" s="122" t="s">
        <v>585</v>
      </c>
      <c r="E225" s="115">
        <v>262.27</v>
      </c>
      <c r="F225" s="115">
        <v>134.37</v>
      </c>
      <c r="G225" s="115">
        <v>154.26</v>
      </c>
      <c r="H225" s="115">
        <v>135.78</v>
      </c>
      <c r="I225" s="115"/>
      <c r="J225" s="115"/>
      <c r="K225" s="114"/>
      <c r="L225" s="115"/>
      <c r="M225" s="115"/>
      <c r="N225" s="115"/>
      <c r="O225" s="115"/>
      <c r="P225" s="115"/>
      <c r="Q225" s="115">
        <f t="shared" si="4"/>
        <v>686.68</v>
      </c>
      <c r="R225" s="108"/>
    </row>
    <row r="226" spans="1:18" ht="12.75">
      <c r="A226" s="116">
        <v>220</v>
      </c>
      <c r="B226" s="111" t="s">
        <v>666</v>
      </c>
      <c r="C226" s="121">
        <v>12226</v>
      </c>
      <c r="D226" s="122" t="s">
        <v>717</v>
      </c>
      <c r="E226" s="115"/>
      <c r="F226" s="115"/>
      <c r="G226" s="115"/>
      <c r="H226" s="115"/>
      <c r="I226" s="115"/>
      <c r="J226" s="115"/>
      <c r="K226" s="114"/>
      <c r="L226" s="115"/>
      <c r="M226" s="115"/>
      <c r="N226" s="115"/>
      <c r="O226" s="115"/>
      <c r="P226" s="115"/>
      <c r="Q226" s="115">
        <f t="shared" si="4"/>
        <v>0</v>
      </c>
      <c r="R226" s="108" t="s">
        <v>716</v>
      </c>
    </row>
    <row r="227" spans="1:18" ht="12.75">
      <c r="A227" s="120">
        <v>221</v>
      </c>
      <c r="B227" s="111" t="s">
        <v>922</v>
      </c>
      <c r="C227" s="111">
        <v>21652</v>
      </c>
      <c r="D227" s="122">
        <v>2</v>
      </c>
      <c r="E227" s="113">
        <f>ROUND(0.04*521.42,0)*3.53*2</f>
        <v>148.26</v>
      </c>
      <c r="F227" s="114">
        <f>ROUND(0.04*409.08,0)*3.53*2</f>
        <v>112.96</v>
      </c>
      <c r="G227" s="114">
        <f>ROUND(0.04*366.33,0)*3.53*2</f>
        <v>105.89999999999999</v>
      </c>
      <c r="H227" s="114">
        <f>ROUND(0.04*254.17,0)*3.53*2</f>
        <v>70.6</v>
      </c>
      <c r="I227" s="114"/>
      <c r="J227" s="115"/>
      <c r="K227" s="114"/>
      <c r="L227" s="114"/>
      <c r="M227" s="114"/>
      <c r="N227" s="114"/>
      <c r="O227" s="114"/>
      <c r="P227" s="114"/>
      <c r="Q227" s="115">
        <f t="shared" si="4"/>
        <v>437.7199999999999</v>
      </c>
      <c r="R227" s="108"/>
    </row>
    <row r="228" spans="1:18" ht="12.75">
      <c r="A228" s="116">
        <v>222</v>
      </c>
      <c r="B228" s="111" t="s">
        <v>725</v>
      </c>
      <c r="C228" s="146"/>
      <c r="D228" s="122" t="s">
        <v>585</v>
      </c>
      <c r="E228" s="114">
        <v>8456.34</v>
      </c>
      <c r="F228" s="115">
        <v>82431.59</v>
      </c>
      <c r="G228" s="115">
        <v>21119.61</v>
      </c>
      <c r="H228" s="115">
        <v>22705.45</v>
      </c>
      <c r="I228" s="114"/>
      <c r="J228" s="115"/>
      <c r="K228" s="114"/>
      <c r="L228" s="114"/>
      <c r="M228" s="114"/>
      <c r="N228" s="114"/>
      <c r="O228" s="114"/>
      <c r="P228" s="114"/>
      <c r="Q228" s="115">
        <f t="shared" si="4"/>
        <v>134712.99</v>
      </c>
      <c r="R228" s="108"/>
    </row>
    <row r="229" spans="1:17" ht="12.75">
      <c r="A229" s="120">
        <v>223</v>
      </c>
      <c r="B229" s="111" t="s">
        <v>667</v>
      </c>
      <c r="C229" s="111">
        <v>21654</v>
      </c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15">
        <f t="shared" si="4"/>
        <v>0</v>
      </c>
    </row>
    <row r="230" spans="1:18" ht="12.75">
      <c r="A230" s="116">
        <v>224</v>
      </c>
      <c r="B230" s="111" t="s">
        <v>923</v>
      </c>
      <c r="C230" s="117">
        <v>21657</v>
      </c>
      <c r="D230" s="128">
        <v>2</v>
      </c>
      <c r="E230" s="113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5">
        <f t="shared" si="4"/>
        <v>0</v>
      </c>
      <c r="R230" s="108" t="s">
        <v>924</v>
      </c>
    </row>
    <row r="231" spans="1:17" ht="12.75">
      <c r="A231" s="120">
        <v>225</v>
      </c>
      <c r="B231" s="111" t="s">
        <v>668</v>
      </c>
      <c r="C231" s="121">
        <v>21212</v>
      </c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15">
        <f t="shared" si="4"/>
        <v>0</v>
      </c>
    </row>
    <row r="232" spans="1:17" ht="12.75">
      <c r="A232" s="116">
        <v>226</v>
      </c>
      <c r="B232" s="111" t="s">
        <v>669</v>
      </c>
      <c r="C232" s="147">
        <v>21213</v>
      </c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15">
        <f t="shared" si="4"/>
        <v>0</v>
      </c>
    </row>
    <row r="233" spans="1:17" ht="12.75">
      <c r="A233" s="120">
        <v>227</v>
      </c>
      <c r="B233" s="111" t="s">
        <v>670</v>
      </c>
      <c r="C233" s="121">
        <v>21214</v>
      </c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15">
        <f t="shared" si="4"/>
        <v>0</v>
      </c>
    </row>
    <row r="234" spans="1:18" ht="12.75">
      <c r="A234" s="116">
        <v>228</v>
      </c>
      <c r="B234" s="111" t="s">
        <v>925</v>
      </c>
      <c r="C234" s="111">
        <v>21215</v>
      </c>
      <c r="D234" s="122" t="s">
        <v>584</v>
      </c>
      <c r="E234" s="115"/>
      <c r="F234" s="115"/>
      <c r="G234" s="115"/>
      <c r="H234" s="115"/>
      <c r="I234" s="115"/>
      <c r="J234" s="115"/>
      <c r="K234" s="114"/>
      <c r="L234" s="115"/>
      <c r="M234" s="115"/>
      <c r="N234" s="115"/>
      <c r="O234" s="115"/>
      <c r="P234" s="115"/>
      <c r="Q234" s="115">
        <f t="shared" si="4"/>
        <v>0</v>
      </c>
      <c r="R234" s="108"/>
    </row>
    <row r="235" spans="1:18" ht="12.75">
      <c r="A235" s="120">
        <v>229</v>
      </c>
      <c r="B235" s="111" t="s">
        <v>926</v>
      </c>
      <c r="C235" s="117">
        <v>21219</v>
      </c>
      <c r="D235" s="128">
        <v>2</v>
      </c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>
        <f t="shared" si="4"/>
        <v>0</v>
      </c>
      <c r="R235" s="108" t="s">
        <v>927</v>
      </c>
    </row>
    <row r="236" spans="1:18" ht="12.75">
      <c r="A236" s="116">
        <v>230</v>
      </c>
      <c r="B236" s="111" t="s">
        <v>928</v>
      </c>
      <c r="C236" s="117">
        <v>21223</v>
      </c>
      <c r="D236" s="128">
        <v>2</v>
      </c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>
        <f t="shared" si="4"/>
        <v>0</v>
      </c>
      <c r="R236" s="108" t="s">
        <v>929</v>
      </c>
    </row>
    <row r="237" spans="1:18" ht="12.75">
      <c r="A237" s="120">
        <v>231</v>
      </c>
      <c r="B237" s="111" t="s">
        <v>930</v>
      </c>
      <c r="C237" s="121"/>
      <c r="D237" s="148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9">
        <f t="shared" si="4"/>
        <v>0</v>
      </c>
      <c r="R237" s="108"/>
    </row>
    <row r="238" spans="1:18" ht="12.75">
      <c r="A238" s="116">
        <v>232</v>
      </c>
      <c r="B238" s="111" t="s">
        <v>251</v>
      </c>
      <c r="C238" s="111">
        <v>21643</v>
      </c>
      <c r="D238" s="149" t="s">
        <v>587</v>
      </c>
      <c r="E238" s="115"/>
      <c r="F238" s="115"/>
      <c r="G238" s="115"/>
      <c r="H238" s="115"/>
      <c r="I238" s="115"/>
      <c r="J238" s="115"/>
      <c r="K238" s="114"/>
      <c r="L238" s="115"/>
      <c r="M238" s="115"/>
      <c r="N238" s="115"/>
      <c r="O238" s="115"/>
      <c r="P238" s="115"/>
      <c r="Q238" s="119">
        <f t="shared" si="4"/>
        <v>0</v>
      </c>
      <c r="R238" s="108"/>
    </row>
    <row r="239" spans="1:17" ht="12.75">
      <c r="A239" s="120">
        <v>233</v>
      </c>
      <c r="B239" s="111" t="s">
        <v>931</v>
      </c>
      <c r="Q239" s="119">
        <f t="shared" si="4"/>
        <v>0</v>
      </c>
    </row>
    <row r="240" spans="1:18" ht="12.75">
      <c r="A240" s="116">
        <v>234</v>
      </c>
      <c r="B240" s="111" t="s">
        <v>932</v>
      </c>
      <c r="C240" s="111">
        <v>21230</v>
      </c>
      <c r="D240" s="122">
        <v>2</v>
      </c>
      <c r="E240" s="113">
        <f>ROUND(0.04*521.42,0)*3.53*2</f>
        <v>148.26</v>
      </c>
      <c r="F240" s="114">
        <f>ROUND(0.04*409.08,0)*3.53*2</f>
        <v>112.96</v>
      </c>
      <c r="G240" s="114">
        <f>ROUND(0.04*366.33,0)*3.53*2</f>
        <v>105.89999999999999</v>
      </c>
      <c r="H240" s="114">
        <f>ROUND(0.04*254.17,0)*3.53*2</f>
        <v>70.6</v>
      </c>
      <c r="I240" s="114"/>
      <c r="J240" s="115"/>
      <c r="K240" s="114"/>
      <c r="L240" s="114"/>
      <c r="M240" s="114"/>
      <c r="N240" s="114"/>
      <c r="O240" s="114"/>
      <c r="P240" s="114"/>
      <c r="Q240" s="119">
        <f t="shared" si="4"/>
        <v>437.7199999999999</v>
      </c>
      <c r="R240" s="108"/>
    </row>
    <row r="241" spans="1:17" ht="12.75">
      <c r="A241" s="120">
        <v>235</v>
      </c>
      <c r="B241" s="111" t="s">
        <v>671</v>
      </c>
      <c r="C241" s="137">
        <v>21375</v>
      </c>
      <c r="D241" s="125"/>
      <c r="E241" s="150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19">
        <f t="shared" si="4"/>
        <v>0</v>
      </c>
    </row>
    <row r="242" spans="1:18" ht="12.75">
      <c r="A242" s="116">
        <v>236</v>
      </c>
      <c r="B242" s="111" t="s">
        <v>673</v>
      </c>
      <c r="C242" s="137">
        <v>21386</v>
      </c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19">
        <f t="shared" si="4"/>
        <v>0</v>
      </c>
      <c r="R242" s="99" t="s">
        <v>933</v>
      </c>
    </row>
    <row r="243" spans="1:17" ht="12.75">
      <c r="A243" s="120">
        <v>237</v>
      </c>
      <c r="B243" s="111" t="s">
        <v>934</v>
      </c>
      <c r="D243" s="125"/>
      <c r="E243" s="122" t="s">
        <v>935</v>
      </c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19" t="e">
        <f t="shared" si="4"/>
        <v>#VALUE!</v>
      </c>
    </row>
    <row r="244" spans="1:18" ht="12.75">
      <c r="A244" s="116">
        <v>238</v>
      </c>
      <c r="B244" s="111" t="s">
        <v>936</v>
      </c>
      <c r="C244" s="111">
        <v>21859</v>
      </c>
      <c r="D244" s="122">
        <v>0</v>
      </c>
      <c r="E244" s="115"/>
      <c r="F244" s="115"/>
      <c r="G244" s="115"/>
      <c r="H244" s="115"/>
      <c r="I244" s="115"/>
      <c r="J244" s="115"/>
      <c r="K244" s="114"/>
      <c r="L244" s="115"/>
      <c r="M244" s="115"/>
      <c r="N244" s="115"/>
      <c r="O244" s="115"/>
      <c r="P244" s="115"/>
      <c r="Q244" s="115">
        <f t="shared" si="4"/>
        <v>0</v>
      </c>
      <c r="R244" s="108"/>
    </row>
    <row r="245" spans="1:18" ht="12.75">
      <c r="A245" s="120">
        <v>239</v>
      </c>
      <c r="B245" s="111" t="s">
        <v>937</v>
      </c>
      <c r="C245" s="117">
        <v>21239</v>
      </c>
      <c r="D245" s="128">
        <v>4</v>
      </c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>
        <f t="shared" si="4"/>
        <v>0</v>
      </c>
      <c r="R245" s="108" t="s">
        <v>938</v>
      </c>
    </row>
    <row r="246" spans="1:18" ht="12.75">
      <c r="A246" s="116">
        <v>240</v>
      </c>
      <c r="B246" s="111" t="s">
        <v>939</v>
      </c>
      <c r="C246" s="111">
        <v>21241</v>
      </c>
      <c r="D246" s="122">
        <v>6</v>
      </c>
      <c r="E246" s="113">
        <f>ROUND(0.04*521.42,0)*3.53*6</f>
        <v>444.78</v>
      </c>
      <c r="F246" s="114">
        <f>ROUND(0.04*409.08,0)*3.53*6</f>
        <v>338.88</v>
      </c>
      <c r="G246" s="114">
        <f>ROUND(0.04*366.33,0)*3.53*6</f>
        <v>317.7</v>
      </c>
      <c r="H246" s="114">
        <f>ROUND(0.04*254.17,0)*3.53*6</f>
        <v>211.79999999999998</v>
      </c>
      <c r="I246" s="115"/>
      <c r="J246" s="115"/>
      <c r="K246" s="114"/>
      <c r="L246" s="114"/>
      <c r="M246" s="114"/>
      <c r="N246" s="114"/>
      <c r="O246" s="114"/>
      <c r="P246" s="114"/>
      <c r="Q246" s="115">
        <f t="shared" si="4"/>
        <v>1313.1599999999999</v>
      </c>
      <c r="R246" s="108"/>
    </row>
    <row r="247" spans="1:18" ht="12.75">
      <c r="A247" s="120">
        <v>241</v>
      </c>
      <c r="B247" s="111" t="s">
        <v>940</v>
      </c>
      <c r="C247" s="111">
        <v>21242</v>
      </c>
      <c r="D247" s="122">
        <v>2</v>
      </c>
      <c r="E247" s="113">
        <f>ROUND(0.04*521.42,0)*3.53*2</f>
        <v>148.26</v>
      </c>
      <c r="F247" s="114">
        <f>ROUND(0.04*409.08,0)*3.53*2</f>
        <v>112.96</v>
      </c>
      <c r="G247" s="114">
        <f>ROUND(0.04*366.33,0)*3.53*2</f>
        <v>105.89999999999999</v>
      </c>
      <c r="H247" s="114">
        <f>ROUND(0.04*254.17,0)*3.53*2</f>
        <v>70.6</v>
      </c>
      <c r="I247" s="114"/>
      <c r="J247" s="115"/>
      <c r="K247" s="114"/>
      <c r="L247" s="114"/>
      <c r="M247" s="114"/>
      <c r="N247" s="114"/>
      <c r="O247" s="114"/>
      <c r="P247" s="114"/>
      <c r="Q247" s="115">
        <f t="shared" si="4"/>
        <v>437.7199999999999</v>
      </c>
      <c r="R247" s="108"/>
    </row>
    <row r="248" spans="1:18" ht="12.75">
      <c r="A248" s="116">
        <v>242</v>
      </c>
      <c r="B248" s="111" t="s">
        <v>941</v>
      </c>
      <c r="C248" s="111">
        <v>21232</v>
      </c>
      <c r="D248" s="122" t="s">
        <v>585</v>
      </c>
      <c r="E248" s="115">
        <v>172.06</v>
      </c>
      <c r="F248" s="115">
        <v>158.54</v>
      </c>
      <c r="G248" s="115">
        <v>56.900000000000006</v>
      </c>
      <c r="H248" s="115">
        <v>96.05</v>
      </c>
      <c r="I248" s="115"/>
      <c r="J248" s="115"/>
      <c r="K248" s="114"/>
      <c r="L248" s="115"/>
      <c r="M248" s="115"/>
      <c r="N248" s="115"/>
      <c r="O248" s="115"/>
      <c r="P248" s="115"/>
      <c r="Q248" s="115">
        <f t="shared" si="4"/>
        <v>483.55</v>
      </c>
      <c r="R248" s="108"/>
    </row>
    <row r="249" spans="1:18" ht="12.75">
      <c r="A249" s="120">
        <v>243</v>
      </c>
      <c r="B249" s="111" t="s">
        <v>942</v>
      </c>
      <c r="C249" s="111">
        <v>21233</v>
      </c>
      <c r="D249" s="122" t="s">
        <v>585</v>
      </c>
      <c r="E249" s="115">
        <v>314.89</v>
      </c>
      <c r="F249" s="115">
        <v>305.65</v>
      </c>
      <c r="G249" s="115">
        <v>278.08000000000004</v>
      </c>
      <c r="H249" s="115">
        <v>163.65</v>
      </c>
      <c r="I249" s="115"/>
      <c r="J249" s="115"/>
      <c r="K249" s="114"/>
      <c r="L249" s="115"/>
      <c r="M249" s="115"/>
      <c r="N249" s="115"/>
      <c r="O249" s="115"/>
      <c r="P249" s="115"/>
      <c r="Q249" s="115">
        <f t="shared" si="4"/>
        <v>1062.27</v>
      </c>
      <c r="R249" s="108"/>
    </row>
    <row r="250" spans="1:18" ht="12.75">
      <c r="A250" s="116">
        <v>244</v>
      </c>
      <c r="B250" s="111" t="s">
        <v>943</v>
      </c>
      <c r="C250" s="117">
        <v>21234</v>
      </c>
      <c r="D250" s="128">
        <v>0</v>
      </c>
      <c r="E250" s="113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>
        <f t="shared" si="4"/>
        <v>0</v>
      </c>
      <c r="R250" s="108"/>
    </row>
    <row r="251" spans="1:18" ht="12.75">
      <c r="A251" s="120">
        <v>245</v>
      </c>
      <c r="B251" s="111" t="s">
        <v>944</v>
      </c>
      <c r="C251" s="111">
        <v>21235</v>
      </c>
      <c r="D251" s="122" t="s">
        <v>585</v>
      </c>
      <c r="E251" s="115">
        <v>856.95</v>
      </c>
      <c r="F251" s="115">
        <v>844.16</v>
      </c>
      <c r="G251" s="115">
        <v>724.29</v>
      </c>
      <c r="H251" s="115">
        <v>668.17</v>
      </c>
      <c r="I251" s="115"/>
      <c r="J251" s="115"/>
      <c r="K251" s="114"/>
      <c r="L251" s="115"/>
      <c r="M251" s="115"/>
      <c r="N251" s="115"/>
      <c r="O251" s="115"/>
      <c r="P251" s="115"/>
      <c r="Q251" s="115">
        <f t="shared" si="4"/>
        <v>3093.57</v>
      </c>
      <c r="R251" s="108"/>
    </row>
    <row r="252" spans="1:18" ht="12.75">
      <c r="A252" s="116">
        <v>246</v>
      </c>
      <c r="B252" s="111" t="s">
        <v>945</v>
      </c>
      <c r="C252" s="111">
        <v>21236</v>
      </c>
      <c r="D252" s="122">
        <v>1</v>
      </c>
      <c r="E252" s="113">
        <f>ROUND(0.04*521.42,0)*3.53</f>
        <v>74.13</v>
      </c>
      <c r="F252" s="114">
        <f>ROUND(0.04*409.08,0)*3.53</f>
        <v>56.48</v>
      </c>
      <c r="G252" s="114">
        <f>ROUND(0.04*366.33,0)*3.53</f>
        <v>52.949999999999996</v>
      </c>
      <c r="H252" s="114">
        <f>ROUND(0.04*254.17,0)*3.53</f>
        <v>35.3</v>
      </c>
      <c r="I252" s="115"/>
      <c r="J252" s="115"/>
      <c r="K252" s="114"/>
      <c r="L252" s="114"/>
      <c r="M252" s="114"/>
      <c r="N252" s="114"/>
      <c r="O252" s="114"/>
      <c r="P252" s="114"/>
      <c r="Q252" s="115">
        <f t="shared" si="4"/>
        <v>218.85999999999996</v>
      </c>
      <c r="R252" s="108"/>
    </row>
    <row r="253" spans="1:18" ht="12.75">
      <c r="A253" s="120">
        <v>247</v>
      </c>
      <c r="B253" s="111" t="s">
        <v>946</v>
      </c>
      <c r="C253" s="111">
        <v>21249</v>
      </c>
      <c r="D253" s="122" t="s">
        <v>585</v>
      </c>
      <c r="E253" s="115">
        <v>118.71</v>
      </c>
      <c r="F253" s="115">
        <v>107.33</v>
      </c>
      <c r="G253" s="115">
        <v>58.31</v>
      </c>
      <c r="H253" s="115">
        <v>95.32</v>
      </c>
      <c r="I253" s="115"/>
      <c r="J253" s="115"/>
      <c r="K253" s="114"/>
      <c r="L253" s="115"/>
      <c r="M253" s="115"/>
      <c r="N253" s="115"/>
      <c r="O253" s="115"/>
      <c r="P253" s="115"/>
      <c r="Q253" s="115">
        <f t="shared" si="4"/>
        <v>379.67</v>
      </c>
      <c r="R253" s="108"/>
    </row>
    <row r="254" spans="1:18" ht="12.75">
      <c r="A254" s="116">
        <v>248</v>
      </c>
      <c r="B254" s="111" t="s">
        <v>947</v>
      </c>
      <c r="C254" s="117">
        <v>12059</v>
      </c>
      <c r="D254" s="128">
        <v>0</v>
      </c>
      <c r="E254" s="113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>
        <f t="shared" si="4"/>
        <v>0</v>
      </c>
      <c r="R254" s="108"/>
    </row>
    <row r="255" spans="1:18" ht="12.75">
      <c r="A255" s="120">
        <v>249</v>
      </c>
      <c r="B255" s="111" t="s">
        <v>948</v>
      </c>
      <c r="C255" s="117">
        <v>21381</v>
      </c>
      <c r="D255" s="128">
        <v>0</v>
      </c>
      <c r="E255" s="113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>
        <f t="shared" si="4"/>
        <v>0</v>
      </c>
      <c r="R255" s="108"/>
    </row>
    <row r="256" spans="1:18" ht="12.75">
      <c r="A256" s="116">
        <v>250</v>
      </c>
      <c r="B256" s="111" t="s">
        <v>949</v>
      </c>
      <c r="C256" s="111">
        <v>21392</v>
      </c>
      <c r="D256" s="122">
        <v>2</v>
      </c>
      <c r="E256" s="113">
        <f>ROUND(0.04*521.42,0)*3.53*2</f>
        <v>148.26</v>
      </c>
      <c r="F256" s="114">
        <f>ROUND(0.04*409.08,0)*3.53*2</f>
        <v>112.96</v>
      </c>
      <c r="G256" s="114">
        <f>ROUND(0.04*366.33,0)*3.53*2</f>
        <v>105.89999999999999</v>
      </c>
      <c r="H256" s="114">
        <f>ROUND(0.04*254.17,0)*3.53*2</f>
        <v>70.6</v>
      </c>
      <c r="I256" s="114"/>
      <c r="J256" s="115"/>
      <c r="K256" s="114"/>
      <c r="L256" s="114"/>
      <c r="M256" s="114"/>
      <c r="N256" s="114"/>
      <c r="O256" s="114"/>
      <c r="P256" s="114"/>
      <c r="Q256" s="115">
        <f t="shared" si="4"/>
        <v>437.7199999999999</v>
      </c>
      <c r="R256" s="108"/>
    </row>
    <row r="257" spans="1:18" ht="12.75">
      <c r="A257" s="120">
        <v>251</v>
      </c>
      <c r="B257" s="111" t="s">
        <v>950</v>
      </c>
      <c r="C257" s="111">
        <v>21391</v>
      </c>
      <c r="D257" s="122">
        <v>2</v>
      </c>
      <c r="E257" s="113">
        <f>ROUND(0.04*521.42,0)*3.53*2</f>
        <v>148.26</v>
      </c>
      <c r="F257" s="114">
        <f>ROUND(0.04*409.08,0)*3.53*2</f>
        <v>112.96</v>
      </c>
      <c r="G257" s="114">
        <f>ROUND(0.04*366.33,0)*3.53*2</f>
        <v>105.89999999999999</v>
      </c>
      <c r="H257" s="114">
        <f>ROUND(0.04*254.17,0)*3.53*2</f>
        <v>70.6</v>
      </c>
      <c r="I257" s="114"/>
      <c r="J257" s="115"/>
      <c r="K257" s="114"/>
      <c r="L257" s="114"/>
      <c r="M257" s="114"/>
      <c r="N257" s="114"/>
      <c r="O257" s="114"/>
      <c r="P257" s="114"/>
      <c r="Q257" s="115">
        <f t="shared" si="4"/>
        <v>437.7199999999999</v>
      </c>
      <c r="R257" s="108"/>
    </row>
    <row r="258" spans="1:18" ht="12.75">
      <c r="A258" s="116">
        <v>252</v>
      </c>
      <c r="B258" s="111" t="s">
        <v>951</v>
      </c>
      <c r="C258" s="111">
        <v>21250</v>
      </c>
      <c r="D258" s="122" t="s">
        <v>585</v>
      </c>
      <c r="E258" s="115">
        <v>92.02</v>
      </c>
      <c r="F258" s="115">
        <v>87.74</v>
      </c>
      <c r="G258" s="115">
        <v>2.14</v>
      </c>
      <c r="H258" s="115">
        <v>51.36</v>
      </c>
      <c r="I258" s="115"/>
      <c r="J258" s="115"/>
      <c r="K258" s="114"/>
      <c r="L258" s="115"/>
      <c r="M258" s="115"/>
      <c r="N258" s="115"/>
      <c r="O258" s="115"/>
      <c r="P258" s="115"/>
      <c r="Q258" s="115">
        <f t="shared" si="4"/>
        <v>233.26</v>
      </c>
      <c r="R258" s="108"/>
    </row>
    <row r="259" spans="1:18" ht="12.75">
      <c r="A259" s="120">
        <v>253</v>
      </c>
      <c r="B259" s="111" t="s">
        <v>952</v>
      </c>
      <c r="C259" s="111">
        <v>21251</v>
      </c>
      <c r="D259" s="122" t="s">
        <v>585</v>
      </c>
      <c r="E259" s="115">
        <v>611.35</v>
      </c>
      <c r="F259" s="115">
        <v>595.69</v>
      </c>
      <c r="G259" s="115">
        <v>562.4300000000001</v>
      </c>
      <c r="H259" s="115">
        <v>512</v>
      </c>
      <c r="I259" s="115"/>
      <c r="J259" s="115"/>
      <c r="K259" s="114"/>
      <c r="L259" s="115"/>
      <c r="M259" s="115"/>
      <c r="N259" s="115"/>
      <c r="O259" s="115"/>
      <c r="P259" s="115"/>
      <c r="Q259" s="115">
        <f t="shared" si="4"/>
        <v>2281.4700000000003</v>
      </c>
      <c r="R259" s="108"/>
    </row>
    <row r="260" spans="1:18" ht="12.75">
      <c r="A260" s="116">
        <v>254</v>
      </c>
      <c r="B260" s="111" t="s">
        <v>953</v>
      </c>
      <c r="C260" s="111">
        <v>21252</v>
      </c>
      <c r="D260" s="122" t="s">
        <v>585</v>
      </c>
      <c r="E260" s="115">
        <v>2370.28</v>
      </c>
      <c r="F260" s="115">
        <v>670.87</v>
      </c>
      <c r="G260" s="115">
        <v>1709.5099999999998</v>
      </c>
      <c r="H260" s="115">
        <v>266.4</v>
      </c>
      <c r="I260" s="115"/>
      <c r="J260" s="115"/>
      <c r="K260" s="114"/>
      <c r="L260" s="115"/>
      <c r="M260" s="115"/>
      <c r="N260" s="115"/>
      <c r="O260" s="115"/>
      <c r="P260" s="115"/>
      <c r="Q260" s="115">
        <f t="shared" si="4"/>
        <v>5017.0599999999995</v>
      </c>
      <c r="R260" s="108"/>
    </row>
    <row r="261" spans="1:18" ht="12.75">
      <c r="A261" s="120">
        <v>255</v>
      </c>
      <c r="B261" s="111" t="s">
        <v>954</v>
      </c>
      <c r="C261" s="111">
        <v>21253</v>
      </c>
      <c r="D261" s="122" t="s">
        <v>585</v>
      </c>
      <c r="E261" s="115">
        <v>196.18</v>
      </c>
      <c r="F261" s="115">
        <v>173.42</v>
      </c>
      <c r="G261" s="115">
        <v>213.4</v>
      </c>
      <c r="H261" s="115">
        <v>101.01</v>
      </c>
      <c r="I261" s="115"/>
      <c r="J261" s="115"/>
      <c r="K261" s="114"/>
      <c r="L261" s="115"/>
      <c r="M261" s="115"/>
      <c r="N261" s="115"/>
      <c r="O261" s="115"/>
      <c r="P261" s="115"/>
      <c r="Q261" s="115">
        <f t="shared" si="4"/>
        <v>684.01</v>
      </c>
      <c r="R261" s="108"/>
    </row>
    <row r="262" spans="1:18" ht="12.75">
      <c r="A262" s="116">
        <v>256</v>
      </c>
      <c r="B262" s="111" t="s">
        <v>955</v>
      </c>
      <c r="C262" s="111">
        <v>21000</v>
      </c>
      <c r="D262" s="122" t="s">
        <v>586</v>
      </c>
      <c r="E262" s="115"/>
      <c r="F262" s="115"/>
      <c r="G262" s="115"/>
      <c r="H262" s="115"/>
      <c r="I262" s="115"/>
      <c r="J262" s="115"/>
      <c r="K262" s="114"/>
      <c r="L262" s="115"/>
      <c r="M262" s="115"/>
      <c r="N262" s="115"/>
      <c r="O262" s="115"/>
      <c r="P262" s="115"/>
      <c r="Q262" s="115">
        <f t="shared" si="4"/>
        <v>0</v>
      </c>
      <c r="R262" s="108"/>
    </row>
    <row r="263" spans="1:18" ht="12.75">
      <c r="A263" s="120">
        <v>257</v>
      </c>
      <c r="B263" s="111" t="s">
        <v>956</v>
      </c>
      <c r="C263" s="111">
        <v>21255</v>
      </c>
      <c r="D263" s="122" t="s">
        <v>585</v>
      </c>
      <c r="E263" s="115">
        <v>487.58</v>
      </c>
      <c r="F263" s="115">
        <v>474.79</v>
      </c>
      <c r="G263" s="115">
        <v>695.14</v>
      </c>
      <c r="H263" s="115">
        <v>575.02</v>
      </c>
      <c r="I263" s="115"/>
      <c r="J263" s="115"/>
      <c r="K263" s="114"/>
      <c r="L263" s="115"/>
      <c r="M263" s="115"/>
      <c r="N263" s="115"/>
      <c r="O263" s="115"/>
      <c r="P263" s="115"/>
      <c r="Q263" s="115">
        <f t="shared" si="4"/>
        <v>2232.5299999999997</v>
      </c>
      <c r="R263" s="108"/>
    </row>
    <row r="264" spans="1:18" ht="12.75">
      <c r="A264" s="116">
        <v>258</v>
      </c>
      <c r="B264" s="111" t="s">
        <v>957</v>
      </c>
      <c r="C264" s="111">
        <v>21256</v>
      </c>
      <c r="D264" s="122" t="s">
        <v>585</v>
      </c>
      <c r="E264" s="115">
        <v>631.87</v>
      </c>
      <c r="F264" s="115">
        <v>634.01</v>
      </c>
      <c r="G264" s="115">
        <v>0</v>
      </c>
      <c r="H264" s="115">
        <v>211.11</v>
      </c>
      <c r="I264" s="115"/>
      <c r="J264" s="115"/>
      <c r="K264" s="114"/>
      <c r="L264" s="115"/>
      <c r="M264" s="115"/>
      <c r="N264" s="115"/>
      <c r="O264" s="115"/>
      <c r="P264" s="115"/>
      <c r="Q264" s="115">
        <f t="shared" si="4"/>
        <v>1476.9900000000002</v>
      </c>
      <c r="R264" s="108"/>
    </row>
    <row r="265" spans="1:18" ht="12.75">
      <c r="A265" s="120">
        <v>259</v>
      </c>
      <c r="B265" s="111" t="s">
        <v>958</v>
      </c>
      <c r="C265" s="111">
        <v>31001</v>
      </c>
      <c r="D265" s="122" t="s">
        <v>586</v>
      </c>
      <c r="E265" s="115"/>
      <c r="F265" s="115"/>
      <c r="G265" s="115"/>
      <c r="H265" s="115"/>
      <c r="I265" s="115"/>
      <c r="J265" s="115"/>
      <c r="K265" s="114"/>
      <c r="L265" s="115"/>
      <c r="M265" s="115"/>
      <c r="N265" s="115"/>
      <c r="O265" s="115"/>
      <c r="P265" s="115"/>
      <c r="Q265" s="115">
        <f t="shared" si="4"/>
        <v>0</v>
      </c>
      <c r="R265" s="108"/>
    </row>
    <row r="266" spans="1:18" ht="12.75">
      <c r="A266" s="116">
        <v>260</v>
      </c>
      <c r="B266" s="111" t="s">
        <v>959</v>
      </c>
      <c r="C266" s="111">
        <v>21257</v>
      </c>
      <c r="D266" s="122" t="s">
        <v>713</v>
      </c>
      <c r="E266" s="115">
        <v>567.24</v>
      </c>
      <c r="F266" s="115">
        <v>548.76</v>
      </c>
      <c r="G266" s="115">
        <v>408.16999999999996</v>
      </c>
      <c r="H266" s="115">
        <v>268.11</v>
      </c>
      <c r="I266" s="115"/>
      <c r="J266" s="115"/>
      <c r="K266" s="114"/>
      <c r="L266" s="115"/>
      <c r="M266" s="115"/>
      <c r="N266" s="115"/>
      <c r="O266" s="115"/>
      <c r="P266" s="115"/>
      <c r="Q266" s="115">
        <f t="shared" si="4"/>
        <v>1792.2800000000002</v>
      </c>
      <c r="R266" s="108"/>
    </row>
    <row r="267" spans="1:18" ht="12.75">
      <c r="A267" s="120">
        <v>261</v>
      </c>
      <c r="B267" s="111" t="s">
        <v>960</v>
      </c>
      <c r="C267" s="111">
        <v>21113</v>
      </c>
      <c r="D267" s="122">
        <v>0</v>
      </c>
      <c r="E267" s="114"/>
      <c r="F267" s="114"/>
      <c r="G267" s="114"/>
      <c r="H267" s="114"/>
      <c r="I267" s="115"/>
      <c r="J267" s="115"/>
      <c r="K267" s="114"/>
      <c r="L267" s="114"/>
      <c r="M267" s="114"/>
      <c r="N267" s="114"/>
      <c r="O267" s="114"/>
      <c r="P267" s="114"/>
      <c r="Q267" s="115">
        <f t="shared" si="4"/>
        <v>0</v>
      </c>
      <c r="R267" s="108"/>
    </row>
    <row r="268" spans="1:18" ht="12.75">
      <c r="A268" s="116">
        <v>262</v>
      </c>
      <c r="B268" s="111" t="s">
        <v>961</v>
      </c>
      <c r="C268" s="111">
        <v>21116</v>
      </c>
      <c r="D268" s="122" t="s">
        <v>585</v>
      </c>
      <c r="E268" s="115">
        <v>599.24</v>
      </c>
      <c r="F268" s="115">
        <v>567.97</v>
      </c>
      <c r="G268" s="114">
        <v>486.31999999999994</v>
      </c>
      <c r="H268" s="115">
        <v>433.7</v>
      </c>
      <c r="I268" s="115"/>
      <c r="J268" s="115"/>
      <c r="K268" s="114"/>
      <c r="L268" s="115"/>
      <c r="M268" s="115"/>
      <c r="N268" s="115"/>
      <c r="O268" s="115"/>
      <c r="P268" s="115"/>
      <c r="Q268" s="115">
        <f t="shared" si="4"/>
        <v>2087.23</v>
      </c>
      <c r="R268" s="108"/>
    </row>
    <row r="269" spans="1:18" ht="12.75">
      <c r="A269" s="120">
        <v>263</v>
      </c>
      <c r="B269" s="111" t="s">
        <v>962</v>
      </c>
      <c r="C269" s="111">
        <v>21114</v>
      </c>
      <c r="D269" s="122" t="s">
        <v>585</v>
      </c>
      <c r="E269" s="115">
        <v>446.49</v>
      </c>
      <c r="F269" s="115">
        <v>430.2</v>
      </c>
      <c r="G269" s="115">
        <v>453.06</v>
      </c>
      <c r="H269" s="115">
        <v>352.88</v>
      </c>
      <c r="I269" s="115"/>
      <c r="J269" s="115"/>
      <c r="K269" s="114"/>
      <c r="L269" s="115"/>
      <c r="M269" s="115"/>
      <c r="N269" s="115"/>
      <c r="O269" s="115"/>
      <c r="P269" s="115"/>
      <c r="Q269" s="115">
        <f t="shared" si="4"/>
        <v>1682.63</v>
      </c>
      <c r="R269" s="108"/>
    </row>
    <row r="270" spans="1:18" ht="12.75">
      <c r="A270" s="116">
        <v>264</v>
      </c>
      <c r="B270" s="111" t="s">
        <v>963</v>
      </c>
      <c r="C270" s="111">
        <v>21115</v>
      </c>
      <c r="D270" s="122" t="s">
        <v>585</v>
      </c>
      <c r="E270" s="115">
        <v>331.96</v>
      </c>
      <c r="F270" s="115">
        <v>415.17</v>
      </c>
      <c r="G270" s="115">
        <v>346.26</v>
      </c>
      <c r="H270" s="115">
        <v>364.11</v>
      </c>
      <c r="I270" s="115"/>
      <c r="J270" s="115"/>
      <c r="K270" s="114"/>
      <c r="L270" s="115"/>
      <c r="M270" s="115"/>
      <c r="N270" s="115"/>
      <c r="O270" s="115"/>
      <c r="P270" s="115"/>
      <c r="Q270" s="115">
        <f aca="true" t="shared" si="5" ref="Q270:Q333">E270+F270+G270+H270+I270+J270+K270+L270+M270+N270+O270+P270</f>
        <v>1457.5</v>
      </c>
      <c r="R270" s="108"/>
    </row>
    <row r="271" spans="1:18" ht="12.75">
      <c r="A271" s="120">
        <v>265</v>
      </c>
      <c r="B271" s="111" t="s">
        <v>964</v>
      </c>
      <c r="C271" s="111">
        <v>21258</v>
      </c>
      <c r="D271" s="122" t="s">
        <v>585</v>
      </c>
      <c r="E271" s="115">
        <v>364.06</v>
      </c>
      <c r="F271" s="115">
        <v>347.67</v>
      </c>
      <c r="G271" s="115">
        <v>275.40999999999997</v>
      </c>
      <c r="H271" s="115">
        <v>296.71</v>
      </c>
      <c r="I271" s="115"/>
      <c r="J271" s="115"/>
      <c r="K271" s="114"/>
      <c r="L271" s="115"/>
      <c r="M271" s="115"/>
      <c r="N271" s="115"/>
      <c r="O271" s="115"/>
      <c r="P271" s="115"/>
      <c r="Q271" s="115">
        <f t="shared" si="5"/>
        <v>1283.85</v>
      </c>
      <c r="R271" s="108"/>
    </row>
    <row r="272" spans="1:18" ht="12.75">
      <c r="A272" s="116">
        <v>266</v>
      </c>
      <c r="B272" s="111" t="s">
        <v>965</v>
      </c>
      <c r="C272" s="111">
        <v>21259</v>
      </c>
      <c r="D272" s="122" t="s">
        <v>585</v>
      </c>
      <c r="E272" s="115">
        <v>563.06</v>
      </c>
      <c r="F272" s="115">
        <v>545.99</v>
      </c>
      <c r="G272" s="115">
        <v>551.1</v>
      </c>
      <c r="H272" s="115">
        <v>417.46</v>
      </c>
      <c r="I272" s="115"/>
      <c r="J272" s="115"/>
      <c r="K272" s="114"/>
      <c r="L272" s="115"/>
      <c r="M272" s="115"/>
      <c r="N272" s="115"/>
      <c r="O272" s="115"/>
      <c r="P272" s="115"/>
      <c r="Q272" s="115">
        <f t="shared" si="5"/>
        <v>2077.61</v>
      </c>
      <c r="R272" s="108"/>
    </row>
    <row r="273" spans="1:18" ht="12.75">
      <c r="A273" s="120">
        <v>267</v>
      </c>
      <c r="B273" s="111" t="s">
        <v>966</v>
      </c>
      <c r="C273" s="111">
        <v>21820</v>
      </c>
      <c r="D273" s="129" t="s">
        <v>588</v>
      </c>
      <c r="E273" s="115">
        <v>16151.5</v>
      </c>
      <c r="F273" s="115">
        <v>11676.28</v>
      </c>
      <c r="G273" s="115">
        <v>14338.55</v>
      </c>
      <c r="H273" s="115">
        <v>12898.64</v>
      </c>
      <c r="I273" s="115"/>
      <c r="J273" s="115"/>
      <c r="K273" s="114"/>
      <c r="L273" s="115"/>
      <c r="M273" s="115"/>
      <c r="N273" s="115"/>
      <c r="O273" s="115"/>
      <c r="P273" s="115"/>
      <c r="Q273" s="115">
        <f t="shared" si="5"/>
        <v>55064.97</v>
      </c>
      <c r="R273" s="108"/>
    </row>
    <row r="274" spans="1:18" ht="12.75">
      <c r="A274" s="116">
        <v>268</v>
      </c>
      <c r="B274" s="111" t="s">
        <v>967</v>
      </c>
      <c r="C274" s="111">
        <v>21260</v>
      </c>
      <c r="D274" s="122" t="s">
        <v>585</v>
      </c>
      <c r="E274" s="115">
        <v>1519.06</v>
      </c>
      <c r="F274" s="115">
        <v>1498.44</v>
      </c>
      <c r="G274" s="115">
        <v>1374.34</v>
      </c>
      <c r="H274" s="115">
        <v>1036.01</v>
      </c>
      <c r="I274" s="115"/>
      <c r="J274" s="115"/>
      <c r="K274" s="114"/>
      <c r="L274" s="115"/>
      <c r="M274" s="115"/>
      <c r="N274" s="115"/>
      <c r="O274" s="115"/>
      <c r="P274" s="115"/>
      <c r="Q274" s="115">
        <f t="shared" si="5"/>
        <v>5427.85</v>
      </c>
      <c r="R274" s="108"/>
    </row>
    <row r="275" spans="1:18" ht="12.75">
      <c r="A275" s="120">
        <v>269</v>
      </c>
      <c r="B275" s="111" t="s">
        <v>968</v>
      </c>
      <c r="C275" s="111">
        <v>21261</v>
      </c>
      <c r="D275" s="122" t="s">
        <v>585</v>
      </c>
      <c r="E275" s="115">
        <v>1316.74</v>
      </c>
      <c r="F275" s="115">
        <v>1301.81</v>
      </c>
      <c r="G275" s="115">
        <v>1593.64</v>
      </c>
      <c r="H275" s="115">
        <v>1394.21</v>
      </c>
      <c r="I275" s="115"/>
      <c r="J275" s="115"/>
      <c r="K275" s="114"/>
      <c r="L275" s="115"/>
      <c r="M275" s="115"/>
      <c r="N275" s="115"/>
      <c r="O275" s="115"/>
      <c r="P275" s="115"/>
      <c r="Q275" s="115">
        <f t="shared" si="5"/>
        <v>5606.400000000001</v>
      </c>
      <c r="R275" s="108"/>
    </row>
    <row r="276" spans="1:18" ht="12.75">
      <c r="A276" s="116">
        <v>270</v>
      </c>
      <c r="B276" s="111" t="s">
        <v>969</v>
      </c>
      <c r="C276" s="111">
        <v>21262</v>
      </c>
      <c r="D276" s="122" t="s">
        <v>585</v>
      </c>
      <c r="E276" s="115">
        <v>1420.77</v>
      </c>
      <c r="F276" s="115">
        <v>1403.7</v>
      </c>
      <c r="G276" s="115">
        <v>2326.39</v>
      </c>
      <c r="H276" s="115">
        <v>1587.14</v>
      </c>
      <c r="I276" s="115"/>
      <c r="J276" s="115"/>
      <c r="K276" s="114"/>
      <c r="L276" s="115"/>
      <c r="M276" s="115"/>
      <c r="N276" s="115"/>
      <c r="O276" s="115"/>
      <c r="P276" s="115"/>
      <c r="Q276" s="115">
        <f t="shared" si="5"/>
        <v>6738.000000000001</v>
      </c>
      <c r="R276" s="108"/>
    </row>
    <row r="277" spans="1:18" ht="12.75">
      <c r="A277" s="120">
        <v>271</v>
      </c>
      <c r="B277" s="111" t="s">
        <v>674</v>
      </c>
      <c r="C277" s="117">
        <v>21826</v>
      </c>
      <c r="D277" s="128">
        <v>0</v>
      </c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>
        <f t="shared" si="5"/>
        <v>0</v>
      </c>
      <c r="R277" s="108" t="s">
        <v>729</v>
      </c>
    </row>
    <row r="278" spans="1:18" ht="12.75">
      <c r="A278" s="116">
        <v>272</v>
      </c>
      <c r="B278" s="111" t="s">
        <v>675</v>
      </c>
      <c r="C278" s="117">
        <v>21834</v>
      </c>
      <c r="D278" s="128">
        <v>0</v>
      </c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>
        <f t="shared" si="5"/>
        <v>0</v>
      </c>
      <c r="R278" s="108" t="s">
        <v>730</v>
      </c>
    </row>
    <row r="279" spans="1:18" ht="12.75">
      <c r="A279" s="120">
        <v>273</v>
      </c>
      <c r="B279" s="111" t="s">
        <v>970</v>
      </c>
      <c r="C279" s="111">
        <v>21395</v>
      </c>
      <c r="D279" s="122">
        <v>0</v>
      </c>
      <c r="E279" s="113"/>
      <c r="F279" s="115"/>
      <c r="G279" s="115"/>
      <c r="H279" s="115"/>
      <c r="I279" s="115"/>
      <c r="J279" s="115"/>
      <c r="K279" s="114"/>
      <c r="L279" s="115"/>
      <c r="M279" s="115"/>
      <c r="N279" s="115"/>
      <c r="O279" s="115"/>
      <c r="P279" s="115"/>
      <c r="Q279" s="115">
        <f t="shared" si="5"/>
        <v>0</v>
      </c>
      <c r="R279" s="108"/>
    </row>
    <row r="280" spans="1:18" ht="12.75">
      <c r="A280" s="116">
        <v>274</v>
      </c>
      <c r="B280" s="111" t="s">
        <v>971</v>
      </c>
      <c r="C280" s="111">
        <v>12224</v>
      </c>
      <c r="D280" s="122">
        <v>2</v>
      </c>
      <c r="E280" s="113">
        <f>ROUND(0.04*521.42,0)*3.53*2</f>
        <v>148.26</v>
      </c>
      <c r="F280" s="114">
        <f>ROUND(0.04*409.08,0)*3.53*2</f>
        <v>112.96</v>
      </c>
      <c r="G280" s="114">
        <f>ROUND(0.04*366.33,0)*3.53*2</f>
        <v>105.89999999999999</v>
      </c>
      <c r="H280" s="114">
        <f>ROUND(0.04*254.17,0)*3.53*2</f>
        <v>70.6</v>
      </c>
      <c r="I280" s="114"/>
      <c r="J280" s="115"/>
      <c r="K280" s="114"/>
      <c r="L280" s="114"/>
      <c r="M280" s="114"/>
      <c r="N280" s="114"/>
      <c r="O280" s="114"/>
      <c r="P280" s="114"/>
      <c r="Q280" s="115">
        <f t="shared" si="5"/>
        <v>437.7199999999999</v>
      </c>
      <c r="R280" s="108"/>
    </row>
    <row r="281" spans="1:18" ht="12.75">
      <c r="A281" s="120">
        <v>275</v>
      </c>
      <c r="B281" s="111" t="s">
        <v>972</v>
      </c>
      <c r="C281" s="111">
        <v>12233</v>
      </c>
      <c r="D281" s="122">
        <v>2</v>
      </c>
      <c r="E281" s="113">
        <f>ROUND(0.04*521.42,0)*3.53*2</f>
        <v>148.26</v>
      </c>
      <c r="F281" s="114">
        <f>ROUND(0.04*409.08,0)*3.53*2</f>
        <v>112.96</v>
      </c>
      <c r="G281" s="114">
        <f>ROUND(0.04*366.33,0)*3.53*2</f>
        <v>105.89999999999999</v>
      </c>
      <c r="H281" s="114">
        <f>ROUND(0.04*254.17,0)*3.53*2</f>
        <v>70.6</v>
      </c>
      <c r="I281" s="114"/>
      <c r="J281" s="115"/>
      <c r="K281" s="114"/>
      <c r="L281" s="114"/>
      <c r="M281" s="114"/>
      <c r="N281" s="114"/>
      <c r="O281" s="114"/>
      <c r="P281" s="114"/>
      <c r="Q281" s="115">
        <f t="shared" si="5"/>
        <v>437.7199999999999</v>
      </c>
      <c r="R281" s="108"/>
    </row>
    <row r="282" spans="1:18" ht="12.75">
      <c r="A282" s="116">
        <v>276</v>
      </c>
      <c r="B282" s="111" t="s">
        <v>973</v>
      </c>
      <c r="C282" s="117">
        <v>12228</v>
      </c>
      <c r="D282" s="12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>
        <f t="shared" si="5"/>
        <v>0</v>
      </c>
      <c r="R282" s="108" t="s">
        <v>974</v>
      </c>
    </row>
    <row r="283" spans="1:18" ht="12.75">
      <c r="A283" s="120">
        <v>277</v>
      </c>
      <c r="B283" s="111" t="s">
        <v>975</v>
      </c>
      <c r="C283" s="111">
        <v>12231</v>
      </c>
      <c r="D283" s="122">
        <v>2</v>
      </c>
      <c r="E283" s="113">
        <f>ROUND(0.04*521.42,0)*3.53*2</f>
        <v>148.26</v>
      </c>
      <c r="F283" s="114">
        <f>ROUND(0.04*409.08,0)*3.53*2</f>
        <v>112.96</v>
      </c>
      <c r="G283" s="114">
        <f>ROUND(0.04*366.33,0)*3.53*2</f>
        <v>105.89999999999999</v>
      </c>
      <c r="H283" s="114">
        <f>ROUND(0.04*254.17,0)*3.53*2</f>
        <v>70.6</v>
      </c>
      <c r="I283" s="114"/>
      <c r="J283" s="115"/>
      <c r="K283" s="114"/>
      <c r="L283" s="114"/>
      <c r="M283" s="114"/>
      <c r="N283" s="114"/>
      <c r="O283" s="114"/>
      <c r="P283" s="114"/>
      <c r="Q283" s="115">
        <f t="shared" si="5"/>
        <v>437.7199999999999</v>
      </c>
      <c r="R283" s="108"/>
    </row>
    <row r="284" spans="1:18" ht="12.75">
      <c r="A284" s="116">
        <v>278</v>
      </c>
      <c r="B284" s="111" t="s">
        <v>976</v>
      </c>
      <c r="C284" s="117">
        <v>12239</v>
      </c>
      <c r="D284" s="128">
        <v>10</v>
      </c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>
        <f t="shared" si="5"/>
        <v>0</v>
      </c>
      <c r="R284" s="108" t="s">
        <v>977</v>
      </c>
    </row>
    <row r="285" spans="1:18" ht="12.75">
      <c r="A285" s="120">
        <v>279</v>
      </c>
      <c r="B285" s="111" t="s">
        <v>978</v>
      </c>
      <c r="C285" s="111">
        <v>12240</v>
      </c>
      <c r="D285" s="122">
        <v>10</v>
      </c>
      <c r="E285" s="114">
        <f>ROUND(0.04*521.42,0)*3.53*10</f>
        <v>741.3</v>
      </c>
      <c r="F285" s="114">
        <f>ROUND(0.04*409.08,0)*3.53*10</f>
        <v>564.8</v>
      </c>
      <c r="G285" s="114">
        <f>ROUND(0.04*366.33,0)*3.53*10</f>
        <v>529.5</v>
      </c>
      <c r="H285" s="114">
        <f>ROUND(0.04*254.17,0)*3.53*10</f>
        <v>353</v>
      </c>
      <c r="I285" s="115"/>
      <c r="J285" s="115"/>
      <c r="K285" s="114"/>
      <c r="L285" s="114"/>
      <c r="M285" s="114"/>
      <c r="N285" s="114"/>
      <c r="O285" s="114"/>
      <c r="P285" s="114"/>
      <c r="Q285" s="115">
        <f t="shared" si="5"/>
        <v>2188.6</v>
      </c>
      <c r="R285" s="108"/>
    </row>
    <row r="286" spans="1:18" ht="12.75">
      <c r="A286" s="116">
        <v>280</v>
      </c>
      <c r="B286" s="111" t="s">
        <v>330</v>
      </c>
      <c r="C286" s="111">
        <v>12242</v>
      </c>
      <c r="D286" s="122" t="s">
        <v>584</v>
      </c>
      <c r="E286" s="115"/>
      <c r="F286" s="115"/>
      <c r="G286" s="151">
        <f>ROUND(0.04*366.33,0)*3.53*8</f>
        <v>423.59999999999997</v>
      </c>
      <c r="H286" s="151">
        <f>ROUND(0.04*254.17,0)*3.53*8</f>
        <v>282.4</v>
      </c>
      <c r="I286" s="115"/>
      <c r="J286" s="115"/>
      <c r="K286" s="114"/>
      <c r="L286" s="115"/>
      <c r="M286" s="115"/>
      <c r="N286" s="115"/>
      <c r="O286" s="115"/>
      <c r="P286" s="115"/>
      <c r="Q286" s="115">
        <f t="shared" si="5"/>
        <v>706</v>
      </c>
      <c r="R286" s="108"/>
    </row>
    <row r="287" spans="1:18" ht="12.75">
      <c r="A287" s="120">
        <v>281</v>
      </c>
      <c r="B287" s="111" t="s">
        <v>979</v>
      </c>
      <c r="C287" s="111">
        <v>12235</v>
      </c>
      <c r="D287" s="122">
        <v>3</v>
      </c>
      <c r="E287" s="113">
        <f>ROUND(0.04*521.42,0)*3.53*3</f>
        <v>222.39</v>
      </c>
      <c r="F287" s="114">
        <f>ROUND(0.04*409.08,0)*3.53*3</f>
        <v>169.44</v>
      </c>
      <c r="G287" s="114">
        <f>ROUND(0.04*366.33,0)*3.53*3</f>
        <v>158.85</v>
      </c>
      <c r="H287" s="114">
        <f>ROUND(0.04*254.17,0)*3.53*3</f>
        <v>105.89999999999999</v>
      </c>
      <c r="I287" s="115"/>
      <c r="J287" s="115"/>
      <c r="K287" s="114"/>
      <c r="L287" s="114"/>
      <c r="M287" s="114"/>
      <c r="N287" s="114"/>
      <c r="O287" s="114"/>
      <c r="P287" s="114"/>
      <c r="Q287" s="115">
        <f t="shared" si="5"/>
        <v>656.5799999999999</v>
      </c>
      <c r="R287" s="108"/>
    </row>
    <row r="288" spans="1:18" ht="12.75">
      <c r="A288" s="116">
        <v>282</v>
      </c>
      <c r="B288" s="111" t="s">
        <v>980</v>
      </c>
      <c r="C288" s="111">
        <v>12238</v>
      </c>
      <c r="D288" s="122">
        <v>15</v>
      </c>
      <c r="E288" s="113">
        <f>ROUND(0.04*521.42,0)*3.53*15</f>
        <v>1111.9499999999998</v>
      </c>
      <c r="F288" s="114">
        <f>ROUND(0.04*409.08,0)*3.53*15</f>
        <v>847.1999999999999</v>
      </c>
      <c r="G288" s="114">
        <f>ROUND(0.04*366.33,0)*3.53*15</f>
        <v>794.2499999999999</v>
      </c>
      <c r="H288" s="114">
        <f>ROUND(0.04*254.17,0)*3.53*15</f>
        <v>529.5</v>
      </c>
      <c r="I288" s="115"/>
      <c r="J288" s="115"/>
      <c r="K288" s="114"/>
      <c r="L288" s="114"/>
      <c r="M288" s="114"/>
      <c r="N288" s="114"/>
      <c r="O288" s="114"/>
      <c r="P288" s="114"/>
      <c r="Q288" s="115">
        <f t="shared" si="5"/>
        <v>3282.8999999999996</v>
      </c>
      <c r="R288" s="108"/>
    </row>
    <row r="289" spans="1:18" ht="12.75">
      <c r="A289" s="120">
        <v>283</v>
      </c>
      <c r="B289" s="111" t="s">
        <v>605</v>
      </c>
      <c r="C289" s="117"/>
      <c r="D289" s="152">
        <v>3</v>
      </c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>
        <f t="shared" si="5"/>
        <v>0</v>
      </c>
      <c r="R289" s="108" t="s">
        <v>981</v>
      </c>
    </row>
    <row r="290" spans="1:18" ht="12.75">
      <c r="A290" s="116">
        <v>284</v>
      </c>
      <c r="B290" s="111" t="s">
        <v>982</v>
      </c>
      <c r="C290" s="111">
        <v>12254</v>
      </c>
      <c r="D290" s="122">
        <v>0</v>
      </c>
      <c r="E290" s="113"/>
      <c r="F290" s="115"/>
      <c r="G290" s="115"/>
      <c r="H290" s="115"/>
      <c r="I290" s="115"/>
      <c r="J290" s="115"/>
      <c r="K290" s="114"/>
      <c r="L290" s="115"/>
      <c r="M290" s="115"/>
      <c r="N290" s="115"/>
      <c r="O290" s="115"/>
      <c r="P290" s="115"/>
      <c r="Q290" s="115">
        <f t="shared" si="5"/>
        <v>0</v>
      </c>
      <c r="R290" s="108"/>
    </row>
    <row r="291" spans="1:18" ht="12.75">
      <c r="A291" s="120">
        <v>285</v>
      </c>
      <c r="B291" s="111" t="s">
        <v>983</v>
      </c>
      <c r="C291" s="121"/>
      <c r="D291" s="148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5">
        <f t="shared" si="5"/>
        <v>0</v>
      </c>
      <c r="R291" s="108"/>
    </row>
    <row r="292" spans="1:18" ht="12.75">
      <c r="A292" s="116">
        <v>286</v>
      </c>
      <c r="B292" s="111" t="s">
        <v>984</v>
      </c>
      <c r="C292" s="117"/>
      <c r="D292" s="152">
        <v>0</v>
      </c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5">
        <f t="shared" si="5"/>
        <v>0</v>
      </c>
      <c r="R292" s="99" t="s">
        <v>985</v>
      </c>
    </row>
    <row r="293" spans="1:17" ht="12.75">
      <c r="A293" s="120">
        <v>287</v>
      </c>
      <c r="B293" s="111" t="s">
        <v>986</v>
      </c>
      <c r="Q293" s="115">
        <f t="shared" si="5"/>
        <v>0</v>
      </c>
    </row>
    <row r="294" spans="1:18" ht="12.75">
      <c r="A294" s="116">
        <v>288</v>
      </c>
      <c r="B294" s="111" t="s">
        <v>987</v>
      </c>
      <c r="C294" s="111">
        <v>12262</v>
      </c>
      <c r="D294" s="122">
        <v>3</v>
      </c>
      <c r="E294" s="113">
        <f>ROUND(0.04*521.42,0)*3.53*3</f>
        <v>222.39</v>
      </c>
      <c r="F294" s="114">
        <f>ROUND(0.04*409.08,0)*3.53*3</f>
        <v>169.44</v>
      </c>
      <c r="G294" s="114">
        <f>ROUND(0.04*366.33,0)*3.53*3</f>
        <v>158.85</v>
      </c>
      <c r="H294" s="114">
        <f>ROUND(0.04*254.17,0)*3.53*3</f>
        <v>105.89999999999999</v>
      </c>
      <c r="I294" s="115"/>
      <c r="J294" s="115"/>
      <c r="K294" s="114"/>
      <c r="L294" s="114"/>
      <c r="M294" s="114"/>
      <c r="N294" s="114"/>
      <c r="O294" s="114"/>
      <c r="P294" s="114"/>
      <c r="Q294" s="115">
        <f t="shared" si="5"/>
        <v>656.5799999999999</v>
      </c>
      <c r="R294" s="108"/>
    </row>
    <row r="295" spans="1:18" ht="12.75">
      <c r="A295" s="120">
        <v>289</v>
      </c>
      <c r="B295" s="111" t="s">
        <v>676</v>
      </c>
      <c r="C295" s="121">
        <v>12265</v>
      </c>
      <c r="D295" s="122">
        <v>2</v>
      </c>
      <c r="E295" s="113">
        <f>ROUND(0.04*521.42,0)*3.53*2</f>
        <v>148.26</v>
      </c>
      <c r="F295" s="114">
        <f>ROUND(0.04*409.08,0)*3.53*2</f>
        <v>112.96</v>
      </c>
      <c r="G295" s="114">
        <f>ROUND(0.04*366.33,0)*3.53*2</f>
        <v>105.89999999999999</v>
      </c>
      <c r="H295" s="114">
        <f>ROUND(0.04*254.17,0)*3.53*2</f>
        <v>70.6</v>
      </c>
      <c r="I295" s="115"/>
      <c r="J295" s="115"/>
      <c r="K295" s="114"/>
      <c r="L295" s="114"/>
      <c r="M295" s="114"/>
      <c r="N295" s="114"/>
      <c r="O295" s="114"/>
      <c r="P295" s="114"/>
      <c r="Q295" s="115">
        <f t="shared" si="5"/>
        <v>437.7199999999999</v>
      </c>
      <c r="R295" s="108" t="s">
        <v>716</v>
      </c>
    </row>
    <row r="296" spans="1:18" ht="12.75">
      <c r="A296" s="116">
        <v>290</v>
      </c>
      <c r="B296" s="111" t="s">
        <v>988</v>
      </c>
      <c r="C296" s="111">
        <v>12266</v>
      </c>
      <c r="D296" s="122">
        <v>3</v>
      </c>
      <c r="E296" s="113">
        <f>ROUND(0.04*521.42,0)*3.53*3</f>
        <v>222.39</v>
      </c>
      <c r="F296" s="114">
        <f>ROUND(0.04*409.08,0)*3.53*3</f>
        <v>169.44</v>
      </c>
      <c r="G296" s="114">
        <f>ROUND(0.04*366.33,0)*3.53*3</f>
        <v>158.85</v>
      </c>
      <c r="H296" s="114">
        <f>ROUND(0.04*254.17,0)*3.53*3</f>
        <v>105.89999999999999</v>
      </c>
      <c r="I296" s="115"/>
      <c r="J296" s="115"/>
      <c r="K296" s="114"/>
      <c r="L296" s="114"/>
      <c r="M296" s="114"/>
      <c r="N296" s="114"/>
      <c r="O296" s="114"/>
      <c r="P296" s="114"/>
      <c r="Q296" s="115">
        <f t="shared" si="5"/>
        <v>656.5799999999999</v>
      </c>
      <c r="R296" s="108"/>
    </row>
    <row r="297" spans="1:18" ht="12.75">
      <c r="A297" s="120">
        <v>291</v>
      </c>
      <c r="B297" s="111" t="s">
        <v>989</v>
      </c>
      <c r="C297" s="111">
        <v>12267</v>
      </c>
      <c r="D297" s="122">
        <v>3</v>
      </c>
      <c r="E297" s="113">
        <f>ROUND(0.04*521.42,0)*3.53*3</f>
        <v>222.39</v>
      </c>
      <c r="F297" s="114">
        <f>ROUND(0.04*409.08,0)*3.53*3</f>
        <v>169.44</v>
      </c>
      <c r="G297" s="114">
        <f>ROUND(0.04*366.33,0)*3.53*3</f>
        <v>158.85</v>
      </c>
      <c r="H297" s="114">
        <f>ROUND(0.04*254.17,0)*3.53*3</f>
        <v>105.89999999999999</v>
      </c>
      <c r="I297" s="115"/>
      <c r="J297" s="115"/>
      <c r="K297" s="114"/>
      <c r="L297" s="114"/>
      <c r="M297" s="114"/>
      <c r="N297" s="114"/>
      <c r="O297" s="114"/>
      <c r="P297" s="114"/>
      <c r="Q297" s="115">
        <f t="shared" si="5"/>
        <v>656.5799999999999</v>
      </c>
      <c r="R297" s="108"/>
    </row>
    <row r="298" spans="1:18" ht="12.75">
      <c r="A298" s="116">
        <v>292</v>
      </c>
      <c r="B298" s="111" t="s">
        <v>990</v>
      </c>
      <c r="C298" s="111">
        <v>12273</v>
      </c>
      <c r="D298" s="122">
        <v>13</v>
      </c>
      <c r="E298" s="113">
        <f>ROUND(0.04*521.42,0)*3.53*13</f>
        <v>963.6899999999999</v>
      </c>
      <c r="F298" s="114">
        <f>ROUND(0.04*409.08,0)*3.53*13</f>
        <v>734.24</v>
      </c>
      <c r="G298" s="114">
        <f>ROUND(0.04*366.33,0)*3.53*13</f>
        <v>688.3499999999999</v>
      </c>
      <c r="H298" s="114">
        <f>ROUND(0.04*254.17,0)*3.53*13</f>
        <v>458.9</v>
      </c>
      <c r="I298" s="115"/>
      <c r="J298" s="115"/>
      <c r="K298" s="114"/>
      <c r="L298" s="114"/>
      <c r="M298" s="114"/>
      <c r="N298" s="114"/>
      <c r="O298" s="114"/>
      <c r="P298" s="114"/>
      <c r="Q298" s="115">
        <f t="shared" si="5"/>
        <v>2845.18</v>
      </c>
      <c r="R298" s="108"/>
    </row>
    <row r="299" spans="1:17" ht="12.75">
      <c r="A299" s="120">
        <v>293</v>
      </c>
      <c r="B299" s="111" t="s">
        <v>991</v>
      </c>
      <c r="Q299" s="115">
        <f t="shared" si="5"/>
        <v>0</v>
      </c>
    </row>
    <row r="300" spans="1:17" ht="12.75">
      <c r="A300" s="116">
        <v>294</v>
      </c>
      <c r="B300" s="111" t="s">
        <v>677</v>
      </c>
      <c r="C300" s="121">
        <v>21663</v>
      </c>
      <c r="Q300" s="115">
        <f t="shared" si="5"/>
        <v>0</v>
      </c>
    </row>
    <row r="301" spans="1:18" ht="12.75">
      <c r="A301" s="120">
        <v>295</v>
      </c>
      <c r="B301" s="111" t="s">
        <v>992</v>
      </c>
      <c r="C301" s="111">
        <v>21664</v>
      </c>
      <c r="D301" s="122">
        <v>1</v>
      </c>
      <c r="E301" s="113">
        <f>ROUND(0.04*521.42,0)*3.53</f>
        <v>74.13</v>
      </c>
      <c r="F301" s="114">
        <f>ROUND(0.04*409.08,0)*3.53</f>
        <v>56.48</v>
      </c>
      <c r="G301" s="114">
        <f>ROUND(0.04*366.33,0)*3.53</f>
        <v>52.949999999999996</v>
      </c>
      <c r="H301" s="114">
        <f>ROUND(0.04*254.17,0)*3.53</f>
        <v>35.3</v>
      </c>
      <c r="I301" s="115"/>
      <c r="J301" s="115"/>
      <c r="K301" s="114"/>
      <c r="L301" s="114"/>
      <c r="M301" s="114"/>
      <c r="N301" s="114"/>
      <c r="O301" s="114"/>
      <c r="P301" s="114"/>
      <c r="Q301" s="115">
        <f t="shared" si="5"/>
        <v>218.85999999999996</v>
      </c>
      <c r="R301" s="108"/>
    </row>
    <row r="302" spans="1:17" ht="12.75">
      <c r="A302" s="116">
        <v>296</v>
      </c>
      <c r="B302" s="111" t="s">
        <v>678</v>
      </c>
      <c r="C302" s="121">
        <v>21666</v>
      </c>
      <c r="Q302" s="115">
        <f t="shared" si="5"/>
        <v>0</v>
      </c>
    </row>
    <row r="303" spans="1:18" ht="12.75">
      <c r="A303" s="120">
        <v>297</v>
      </c>
      <c r="B303" s="111" t="s">
        <v>993</v>
      </c>
      <c r="C303" s="111">
        <v>21667</v>
      </c>
      <c r="D303" s="122">
        <v>2</v>
      </c>
      <c r="E303" s="113">
        <f>ROUND(0.04*521.42,0)*3.53*2</f>
        <v>148.26</v>
      </c>
      <c r="F303" s="114">
        <f>ROUND(0.04*409.08,0)*3.53*2</f>
        <v>112.96</v>
      </c>
      <c r="G303" s="114">
        <f>ROUND(0.04*366.33,0)*3.53*2</f>
        <v>105.89999999999999</v>
      </c>
      <c r="H303" s="114">
        <f>ROUND(0.04*254.17,0)*3.53*2</f>
        <v>70.6</v>
      </c>
      <c r="I303" s="114"/>
      <c r="J303" s="115"/>
      <c r="K303" s="114"/>
      <c r="L303" s="114"/>
      <c r="M303" s="114"/>
      <c r="N303" s="114"/>
      <c r="O303" s="114"/>
      <c r="P303" s="114"/>
      <c r="Q303" s="115">
        <f t="shared" si="5"/>
        <v>437.7199999999999</v>
      </c>
      <c r="R303" s="108"/>
    </row>
    <row r="304" spans="1:18" ht="12.75">
      <c r="A304" s="116">
        <v>298</v>
      </c>
      <c r="B304" s="111" t="s">
        <v>994</v>
      </c>
      <c r="C304" s="117">
        <v>21263</v>
      </c>
      <c r="D304" s="128">
        <v>0</v>
      </c>
      <c r="E304" s="113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>
        <f t="shared" si="5"/>
        <v>0</v>
      </c>
      <c r="R304" s="108"/>
    </row>
    <row r="305" spans="1:18" ht="12.75">
      <c r="A305" s="120">
        <v>299</v>
      </c>
      <c r="B305" s="111" t="s">
        <v>995</v>
      </c>
      <c r="C305" s="117">
        <v>21264</v>
      </c>
      <c r="D305" s="128">
        <v>0</v>
      </c>
      <c r="E305" s="113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>
        <f t="shared" si="5"/>
        <v>0</v>
      </c>
      <c r="R305" s="108"/>
    </row>
    <row r="306" spans="1:18" ht="12.75">
      <c r="A306" s="116">
        <v>300</v>
      </c>
      <c r="B306" s="111" t="s">
        <v>996</v>
      </c>
      <c r="C306" s="111">
        <v>12085</v>
      </c>
      <c r="D306" s="122">
        <v>8</v>
      </c>
      <c r="E306" s="113">
        <f>ROUND(0.04*521.42,0)*3.53*8</f>
        <v>593.04</v>
      </c>
      <c r="F306" s="114">
        <f>ROUND(0.04*409.08,0)*3.53*8</f>
        <v>451.84</v>
      </c>
      <c r="G306" s="114">
        <f>ROUND(0.04*366.33,0)*3.53*8</f>
        <v>423.59999999999997</v>
      </c>
      <c r="H306" s="114">
        <f>ROUND(0.04*254.17,0)*3.53*8</f>
        <v>282.4</v>
      </c>
      <c r="I306" s="115"/>
      <c r="J306" s="115"/>
      <c r="K306" s="114"/>
      <c r="L306" s="114"/>
      <c r="M306" s="114"/>
      <c r="N306" s="114"/>
      <c r="O306" s="114"/>
      <c r="P306" s="114"/>
      <c r="Q306" s="115">
        <f t="shared" si="5"/>
        <v>1750.8799999999997</v>
      </c>
      <c r="R306" s="108"/>
    </row>
    <row r="307" spans="1:18" ht="12.75">
      <c r="A307" s="120">
        <v>301</v>
      </c>
      <c r="B307" s="111" t="s">
        <v>997</v>
      </c>
      <c r="C307" s="111">
        <v>12086</v>
      </c>
      <c r="D307" s="122">
        <v>14</v>
      </c>
      <c r="E307" s="113">
        <f>ROUND(0.04*521.42,0)*3.53*14</f>
        <v>1037.82</v>
      </c>
      <c r="F307" s="114">
        <f>ROUND(0.04*409.08,0)*3.53*14</f>
        <v>790.7199999999999</v>
      </c>
      <c r="G307" s="114">
        <f>ROUND(0.04*366.33,0)*3.53*14</f>
        <v>741.3</v>
      </c>
      <c r="H307" s="114">
        <f>ROUND(0.04*254.17,0)*3.53*14</f>
        <v>494.19999999999993</v>
      </c>
      <c r="I307" s="115"/>
      <c r="J307" s="115"/>
      <c r="K307" s="114"/>
      <c r="L307" s="114"/>
      <c r="M307" s="114"/>
      <c r="N307" s="114"/>
      <c r="O307" s="114"/>
      <c r="P307" s="114"/>
      <c r="Q307" s="115">
        <f t="shared" si="5"/>
        <v>3064.04</v>
      </c>
      <c r="R307" s="108"/>
    </row>
    <row r="308" spans="1:18" ht="12.75">
      <c r="A308" s="116">
        <v>302</v>
      </c>
      <c r="B308" s="111" t="s">
        <v>998</v>
      </c>
      <c r="C308" s="111">
        <v>12088</v>
      </c>
      <c r="D308" s="122">
        <v>15</v>
      </c>
      <c r="E308" s="113">
        <f>ROUND(0.04*521.42,0)*3.53*15</f>
        <v>1111.9499999999998</v>
      </c>
      <c r="F308" s="114">
        <f>ROUND(0.04*409.08,0)*3.53*15</f>
        <v>847.1999999999999</v>
      </c>
      <c r="G308" s="114">
        <f>ROUND(0.04*366.33,0)*3.53*15</f>
        <v>794.2499999999999</v>
      </c>
      <c r="H308" s="114">
        <f>ROUND(0.04*254.17,0)*3.53*15</f>
        <v>529.5</v>
      </c>
      <c r="I308" s="115"/>
      <c r="J308" s="115"/>
      <c r="K308" s="114"/>
      <c r="L308" s="114"/>
      <c r="M308" s="114"/>
      <c r="N308" s="114"/>
      <c r="O308" s="114"/>
      <c r="P308" s="114"/>
      <c r="Q308" s="115">
        <f t="shared" si="5"/>
        <v>3282.8999999999996</v>
      </c>
      <c r="R308" s="108"/>
    </row>
    <row r="309" spans="1:18" ht="12.75">
      <c r="A309" s="120">
        <v>303</v>
      </c>
      <c r="B309" s="111" t="s">
        <v>999</v>
      </c>
      <c r="C309" s="111">
        <v>12093</v>
      </c>
      <c r="D309" s="122">
        <v>8</v>
      </c>
      <c r="E309" s="113">
        <f>ROUND(0.04*521.42,0)*3.53*8</f>
        <v>593.04</v>
      </c>
      <c r="F309" s="114">
        <f>ROUND(0.04*409.08,0)*3.53*8</f>
        <v>451.84</v>
      </c>
      <c r="G309" s="114">
        <f>ROUND(0.04*366.33,0)*3.53*8</f>
        <v>423.59999999999997</v>
      </c>
      <c r="H309" s="114">
        <f>ROUND(0.04*254.17,0)*3.53*8</f>
        <v>282.4</v>
      </c>
      <c r="I309" s="115"/>
      <c r="J309" s="115"/>
      <c r="K309" s="114"/>
      <c r="L309" s="114"/>
      <c r="M309" s="114"/>
      <c r="N309" s="114"/>
      <c r="O309" s="114"/>
      <c r="P309" s="114"/>
      <c r="Q309" s="115">
        <f t="shared" si="5"/>
        <v>1750.8799999999997</v>
      </c>
      <c r="R309" s="108"/>
    </row>
    <row r="310" spans="1:18" ht="12.75">
      <c r="A310" s="116">
        <v>304</v>
      </c>
      <c r="B310" s="111" t="s">
        <v>1000</v>
      </c>
      <c r="C310" s="111">
        <v>12094</v>
      </c>
      <c r="D310" s="122">
        <v>13</v>
      </c>
      <c r="E310" s="113">
        <f>ROUND(0.04*521.42,0)*3.53*13</f>
        <v>963.6899999999999</v>
      </c>
      <c r="F310" s="114">
        <f>ROUND(0.04*409.08,0)*3.53*13</f>
        <v>734.24</v>
      </c>
      <c r="G310" s="114">
        <f>ROUND(0.04*366.33,0)*3.53*13</f>
        <v>688.3499999999999</v>
      </c>
      <c r="H310" s="114">
        <f>ROUND(0.04*254.17,0)*3.53*13</f>
        <v>458.9</v>
      </c>
      <c r="I310" s="115"/>
      <c r="J310" s="115"/>
      <c r="K310" s="114"/>
      <c r="L310" s="114"/>
      <c r="M310" s="114"/>
      <c r="N310" s="114"/>
      <c r="O310" s="114"/>
      <c r="P310" s="114"/>
      <c r="Q310" s="115">
        <f t="shared" si="5"/>
        <v>2845.18</v>
      </c>
      <c r="R310" s="108"/>
    </row>
    <row r="311" spans="1:18" ht="12.75">
      <c r="A311" s="120">
        <v>305</v>
      </c>
      <c r="B311" s="111" t="s">
        <v>1001</v>
      </c>
      <c r="C311" s="111">
        <v>12611</v>
      </c>
      <c r="D311" s="122">
        <v>10</v>
      </c>
      <c r="E311" s="113">
        <f>ROUND(0.04*521.42,0)*3.53*10</f>
        <v>741.3</v>
      </c>
      <c r="F311" s="114">
        <f>ROUND(0.04*409.08,0)*3.53*10</f>
        <v>564.8</v>
      </c>
      <c r="G311" s="114">
        <f>ROUND(0.04*366.33,0)*3.53*10</f>
        <v>529.5</v>
      </c>
      <c r="H311" s="114">
        <f>ROUND(0.04*254.17,0)*3.53*10</f>
        <v>353</v>
      </c>
      <c r="I311" s="115"/>
      <c r="J311" s="115"/>
      <c r="K311" s="114"/>
      <c r="L311" s="114"/>
      <c r="M311" s="114"/>
      <c r="N311" s="114"/>
      <c r="O311" s="114"/>
      <c r="P311" s="114"/>
      <c r="Q311" s="115">
        <f t="shared" si="5"/>
        <v>2188.6</v>
      </c>
      <c r="R311" s="108"/>
    </row>
    <row r="312" spans="1:18" ht="12.75">
      <c r="A312" s="116">
        <v>306</v>
      </c>
      <c r="B312" s="111" t="s">
        <v>679</v>
      </c>
      <c r="C312" s="121">
        <v>11713</v>
      </c>
      <c r="D312" s="122" t="s">
        <v>718</v>
      </c>
      <c r="E312" s="115"/>
      <c r="F312" s="115"/>
      <c r="G312" s="115"/>
      <c r="H312" s="115"/>
      <c r="I312" s="115"/>
      <c r="J312" s="115"/>
      <c r="K312" s="114"/>
      <c r="L312" s="115"/>
      <c r="M312" s="115"/>
      <c r="N312" s="115"/>
      <c r="O312" s="115"/>
      <c r="P312" s="115"/>
      <c r="Q312" s="115">
        <f t="shared" si="5"/>
        <v>0</v>
      </c>
      <c r="R312" s="108" t="s">
        <v>719</v>
      </c>
    </row>
    <row r="313" spans="1:18" ht="12.75">
      <c r="A313" s="120">
        <v>307</v>
      </c>
      <c r="B313" s="111" t="s">
        <v>1002</v>
      </c>
      <c r="C313" s="117">
        <v>21668</v>
      </c>
      <c r="D313" s="128">
        <v>1</v>
      </c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>
        <f t="shared" si="5"/>
        <v>0</v>
      </c>
      <c r="R313" s="108" t="s">
        <v>1003</v>
      </c>
    </row>
    <row r="314" spans="1:18" ht="12.75">
      <c r="A314" s="116">
        <v>308</v>
      </c>
      <c r="B314" s="111" t="s">
        <v>1004</v>
      </c>
      <c r="C314" s="111">
        <v>12098</v>
      </c>
      <c r="D314" s="122">
        <v>9</v>
      </c>
      <c r="E314" s="113">
        <f>ROUND(0.04*521.42,0)*3.53*9</f>
        <v>667.17</v>
      </c>
      <c r="F314" s="114">
        <f>ROUND(0.04*409.08,0)*3.53*9</f>
        <v>508.32</v>
      </c>
      <c r="G314" s="114">
        <f>ROUND(0.04*366.33,0)*3.53*9</f>
        <v>476.54999999999995</v>
      </c>
      <c r="H314" s="114">
        <f>ROUND(0.04*254.17,0)*3.53*9</f>
        <v>317.7</v>
      </c>
      <c r="I314" s="114"/>
      <c r="J314" s="114"/>
      <c r="K314" s="114"/>
      <c r="L314" s="114"/>
      <c r="M314" s="114"/>
      <c r="N314" s="114"/>
      <c r="O314" s="114"/>
      <c r="P314" s="114"/>
      <c r="Q314" s="114">
        <f t="shared" si="5"/>
        <v>1969.74</v>
      </c>
      <c r="R314" s="108"/>
    </row>
    <row r="315" spans="1:18" ht="12.75">
      <c r="A315" s="120">
        <v>309</v>
      </c>
      <c r="B315" s="111" t="s">
        <v>1005</v>
      </c>
      <c r="C315" s="111">
        <v>12099</v>
      </c>
      <c r="D315" s="122">
        <v>9</v>
      </c>
      <c r="E315" s="113">
        <f>ROUND(0.04*521.42,0)*3.53*9</f>
        <v>667.17</v>
      </c>
      <c r="F315" s="114">
        <f>ROUND(0.04*409.08,0)*3.53*9</f>
        <v>508.32</v>
      </c>
      <c r="G315" s="114">
        <f>ROUND(0.04*366.33,0)*3.53*9</f>
        <v>476.54999999999995</v>
      </c>
      <c r="H315" s="114">
        <f>ROUND(0.04*254.17,0)*3.53*9</f>
        <v>317.7</v>
      </c>
      <c r="I315" s="114"/>
      <c r="J315" s="114"/>
      <c r="K315" s="114"/>
      <c r="L315" s="114"/>
      <c r="M315" s="114"/>
      <c r="N315" s="114"/>
      <c r="O315" s="114"/>
      <c r="P315" s="114"/>
      <c r="Q315" s="114">
        <f t="shared" si="5"/>
        <v>1969.74</v>
      </c>
      <c r="R315" s="108"/>
    </row>
    <row r="316" spans="1:18" ht="12.75">
      <c r="A316" s="116">
        <v>310</v>
      </c>
      <c r="B316" s="111" t="s">
        <v>1006</v>
      </c>
      <c r="C316" s="117">
        <v>12104</v>
      </c>
      <c r="D316" s="128">
        <v>26</v>
      </c>
      <c r="E316" s="119"/>
      <c r="F316" s="119"/>
      <c r="G316" s="119"/>
      <c r="H316" s="119"/>
      <c r="I316" s="119"/>
      <c r="J316" s="119"/>
      <c r="K316" s="153"/>
      <c r="L316" s="119"/>
      <c r="M316" s="119"/>
      <c r="N316" s="119"/>
      <c r="O316" s="119"/>
      <c r="P316" s="119"/>
      <c r="Q316" s="119">
        <f t="shared" si="5"/>
        <v>0</v>
      </c>
      <c r="R316" s="108" t="s">
        <v>1007</v>
      </c>
    </row>
    <row r="317" spans="1:18" ht="12.75">
      <c r="A317" s="120">
        <v>311</v>
      </c>
      <c r="B317" s="111" t="s">
        <v>1008</v>
      </c>
      <c r="C317" s="117">
        <v>12105</v>
      </c>
      <c r="D317" s="128">
        <v>8</v>
      </c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>
        <f t="shared" si="5"/>
        <v>0</v>
      </c>
      <c r="R317" s="108" t="s">
        <v>974</v>
      </c>
    </row>
    <row r="318" spans="1:18" ht="12.75">
      <c r="A318" s="116">
        <v>312</v>
      </c>
      <c r="B318" s="111" t="s">
        <v>1009</v>
      </c>
      <c r="C318" s="141">
        <v>10006</v>
      </c>
      <c r="D318" s="122" t="s">
        <v>586</v>
      </c>
      <c r="E318" s="115"/>
      <c r="F318" s="115"/>
      <c r="G318" s="115"/>
      <c r="H318" s="115"/>
      <c r="I318" s="115"/>
      <c r="J318" s="115"/>
      <c r="K318" s="114"/>
      <c r="L318" s="115"/>
      <c r="M318" s="115"/>
      <c r="N318" s="115"/>
      <c r="O318" s="115"/>
      <c r="P318" s="115"/>
      <c r="Q318" s="115">
        <f t="shared" si="5"/>
        <v>0</v>
      </c>
      <c r="R318" s="108"/>
    </row>
    <row r="319" spans="1:18" ht="12.75">
      <c r="A319" s="120">
        <v>313</v>
      </c>
      <c r="B319" s="111" t="s">
        <v>618</v>
      </c>
      <c r="C319" s="117">
        <v>10015</v>
      </c>
      <c r="D319" s="128" t="s">
        <v>586</v>
      </c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>
        <f t="shared" si="5"/>
        <v>0</v>
      </c>
      <c r="R319" s="108"/>
    </row>
    <row r="320" spans="1:18" ht="12.75">
      <c r="A320" s="116">
        <v>314</v>
      </c>
      <c r="B320" s="111" t="s">
        <v>680</v>
      </c>
      <c r="C320" s="121">
        <v>10014</v>
      </c>
      <c r="D320" s="122" t="s">
        <v>717</v>
      </c>
      <c r="E320" s="154" t="s">
        <v>935</v>
      </c>
      <c r="F320" s="127"/>
      <c r="G320" s="127"/>
      <c r="H320" s="127"/>
      <c r="I320" s="115"/>
      <c r="J320" s="115"/>
      <c r="K320" s="114"/>
      <c r="L320" s="115"/>
      <c r="M320" s="115"/>
      <c r="N320" s="115"/>
      <c r="O320" s="115"/>
      <c r="P320" s="127"/>
      <c r="Q320" s="115" t="e">
        <f t="shared" si="5"/>
        <v>#VALUE!</v>
      </c>
      <c r="R320" s="108" t="s">
        <v>716</v>
      </c>
    </row>
    <row r="321" spans="1:18" ht="12.75">
      <c r="A321" s="120">
        <v>315</v>
      </c>
      <c r="B321" s="111" t="s">
        <v>1010</v>
      </c>
      <c r="C321" s="111">
        <v>12406</v>
      </c>
      <c r="D321" s="129" t="s">
        <v>588</v>
      </c>
      <c r="E321" s="115">
        <v>8871.01</v>
      </c>
      <c r="F321" s="115">
        <v>8304.56</v>
      </c>
      <c r="G321" s="115">
        <v>6039.89</v>
      </c>
      <c r="H321" s="115">
        <v>10423.52</v>
      </c>
      <c r="I321" s="115"/>
      <c r="J321" s="115"/>
      <c r="K321" s="114"/>
      <c r="L321" s="115"/>
      <c r="M321" s="115"/>
      <c r="N321" s="115"/>
      <c r="O321" s="115"/>
      <c r="P321" s="115"/>
      <c r="Q321" s="115">
        <f t="shared" si="5"/>
        <v>33638.979999999996</v>
      </c>
      <c r="R321" s="108"/>
    </row>
    <row r="322" spans="1:18" ht="12.75">
      <c r="A322" s="116">
        <v>316</v>
      </c>
      <c r="B322" s="111" t="s">
        <v>681</v>
      </c>
      <c r="C322" s="121">
        <v>12625</v>
      </c>
      <c r="D322" s="122" t="s">
        <v>717</v>
      </c>
      <c r="E322" s="113"/>
      <c r="F322" s="115"/>
      <c r="G322" s="115"/>
      <c r="H322" s="115"/>
      <c r="I322" s="115"/>
      <c r="J322" s="115"/>
      <c r="K322" s="114"/>
      <c r="L322" s="115"/>
      <c r="M322" s="115"/>
      <c r="N322" s="115"/>
      <c r="O322" s="115"/>
      <c r="P322" s="115"/>
      <c r="Q322" s="115">
        <f t="shared" si="5"/>
        <v>0</v>
      </c>
      <c r="R322" s="108" t="s">
        <v>716</v>
      </c>
    </row>
    <row r="323" spans="1:18" ht="12.75">
      <c r="A323" s="120">
        <v>317</v>
      </c>
      <c r="B323" s="111" t="s">
        <v>1011</v>
      </c>
      <c r="C323" s="117">
        <v>12637</v>
      </c>
      <c r="D323" s="128">
        <v>0</v>
      </c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>
        <f t="shared" si="5"/>
        <v>0</v>
      </c>
      <c r="R323" s="108"/>
    </row>
    <row r="324" spans="1:18" ht="12.75">
      <c r="A324" s="116">
        <v>318</v>
      </c>
      <c r="B324" s="111" t="s">
        <v>1012</v>
      </c>
      <c r="C324" s="111">
        <v>12407</v>
      </c>
      <c r="D324" s="129" t="s">
        <v>588</v>
      </c>
      <c r="E324" s="115">
        <v>5869.17</v>
      </c>
      <c r="F324" s="115">
        <v>4114.35</v>
      </c>
      <c r="G324" s="115">
        <v>11663.56</v>
      </c>
      <c r="H324" s="115">
        <v>10053.21</v>
      </c>
      <c r="I324" s="115"/>
      <c r="J324" s="115"/>
      <c r="K324" s="114"/>
      <c r="L324" s="115"/>
      <c r="M324" s="115"/>
      <c r="N324" s="115"/>
      <c r="O324" s="115"/>
      <c r="P324" s="115"/>
      <c r="Q324" s="115">
        <f t="shared" si="5"/>
        <v>31700.29</v>
      </c>
      <c r="R324" s="108"/>
    </row>
    <row r="325" spans="1:18" ht="12.75">
      <c r="A325" s="120">
        <v>319</v>
      </c>
      <c r="B325" s="111" t="s">
        <v>1013</v>
      </c>
      <c r="C325" s="111">
        <v>33005</v>
      </c>
      <c r="D325" s="122" t="s">
        <v>591</v>
      </c>
      <c r="E325" s="119"/>
      <c r="F325" s="115"/>
      <c r="G325" s="115"/>
      <c r="H325" s="115"/>
      <c r="I325" s="115"/>
      <c r="J325" s="115"/>
      <c r="K325" s="114"/>
      <c r="L325" s="115"/>
      <c r="M325" s="115"/>
      <c r="N325" s="115"/>
      <c r="O325" s="115"/>
      <c r="P325" s="115"/>
      <c r="Q325" s="115">
        <f t="shared" si="5"/>
        <v>0</v>
      </c>
      <c r="R325" s="108"/>
    </row>
    <row r="326" spans="1:18" ht="12.75">
      <c r="A326" s="116">
        <v>320</v>
      </c>
      <c r="B326" s="111" t="s">
        <v>363</v>
      </c>
      <c r="C326" s="111">
        <v>21824</v>
      </c>
      <c r="D326" s="132" t="s">
        <v>585</v>
      </c>
      <c r="E326" s="115">
        <v>662.31</v>
      </c>
      <c r="F326" s="115">
        <v>606.87</v>
      </c>
      <c r="G326" s="115">
        <v>476.78</v>
      </c>
      <c r="H326" s="115">
        <v>458.7</v>
      </c>
      <c r="I326" s="115"/>
      <c r="J326" s="115"/>
      <c r="K326" s="114"/>
      <c r="L326" s="115"/>
      <c r="M326" s="115"/>
      <c r="N326" s="115"/>
      <c r="O326" s="115"/>
      <c r="P326" s="115"/>
      <c r="Q326" s="115">
        <f t="shared" si="5"/>
        <v>2204.66</v>
      </c>
      <c r="R326" s="108"/>
    </row>
    <row r="327" spans="1:18" ht="12.75">
      <c r="A327" s="120">
        <v>321</v>
      </c>
      <c r="B327" s="111" t="s">
        <v>364</v>
      </c>
      <c r="C327" s="111">
        <v>21827</v>
      </c>
      <c r="D327" s="132" t="s">
        <v>585</v>
      </c>
      <c r="E327" s="115">
        <v>1113.76</v>
      </c>
      <c r="F327" s="115">
        <v>1068.97</v>
      </c>
      <c r="G327" s="115">
        <v>1583.4099999999999</v>
      </c>
      <c r="H327" s="115">
        <v>1096.51</v>
      </c>
      <c r="I327" s="115"/>
      <c r="J327" s="115"/>
      <c r="K327" s="114"/>
      <c r="L327" s="115"/>
      <c r="M327" s="115"/>
      <c r="N327" s="115"/>
      <c r="O327" s="115"/>
      <c r="P327" s="115"/>
      <c r="Q327" s="115">
        <f t="shared" si="5"/>
        <v>4862.65</v>
      </c>
      <c r="R327" s="108"/>
    </row>
    <row r="328" spans="1:18" ht="12.75">
      <c r="A328" s="116">
        <v>322</v>
      </c>
      <c r="B328" s="111" t="s">
        <v>365</v>
      </c>
      <c r="C328" s="111">
        <v>21828</v>
      </c>
      <c r="D328" s="132" t="s">
        <v>585</v>
      </c>
      <c r="E328" s="115">
        <v>2398.43</v>
      </c>
      <c r="F328" s="115">
        <v>2352.18</v>
      </c>
      <c r="G328" s="115">
        <v>598.96</v>
      </c>
      <c r="H328" s="115">
        <v>1720.78</v>
      </c>
      <c r="I328" s="115"/>
      <c r="J328" s="115"/>
      <c r="K328" s="114"/>
      <c r="L328" s="115"/>
      <c r="M328" s="115"/>
      <c r="N328" s="115"/>
      <c r="O328" s="115"/>
      <c r="P328" s="115"/>
      <c r="Q328" s="115">
        <f t="shared" si="5"/>
        <v>7070.349999999999</v>
      </c>
      <c r="R328" s="108"/>
    </row>
    <row r="329" spans="1:18" ht="12.75">
      <c r="A329" s="120">
        <v>323</v>
      </c>
      <c r="B329" s="111" t="s">
        <v>366</v>
      </c>
      <c r="C329" s="111">
        <v>21829</v>
      </c>
      <c r="D329" s="132" t="s">
        <v>585</v>
      </c>
      <c r="E329" s="115">
        <v>479.02</v>
      </c>
      <c r="F329" s="115">
        <v>445.61</v>
      </c>
      <c r="G329" s="115">
        <v>528.14</v>
      </c>
      <c r="H329" s="115">
        <v>382.39</v>
      </c>
      <c r="I329" s="115"/>
      <c r="J329" s="115"/>
      <c r="K329" s="114"/>
      <c r="L329" s="115"/>
      <c r="M329" s="115"/>
      <c r="N329" s="115"/>
      <c r="O329" s="115"/>
      <c r="P329" s="115"/>
      <c r="Q329" s="115">
        <f t="shared" si="5"/>
        <v>1835.1599999999999</v>
      </c>
      <c r="R329" s="108"/>
    </row>
    <row r="330" spans="1:18" ht="12.75">
      <c r="A330" s="116">
        <v>324</v>
      </c>
      <c r="B330" s="111" t="s">
        <v>1014</v>
      </c>
      <c r="C330" s="111">
        <v>12362</v>
      </c>
      <c r="D330" s="132" t="s">
        <v>585</v>
      </c>
      <c r="E330" s="115">
        <v>190.01</v>
      </c>
      <c r="F330" s="115">
        <v>2177.53</v>
      </c>
      <c r="G330" s="115">
        <v>1515.85</v>
      </c>
      <c r="H330" s="115">
        <v>1602.2</v>
      </c>
      <c r="I330" s="115"/>
      <c r="J330" s="115"/>
      <c r="K330" s="114"/>
      <c r="L330" s="115"/>
      <c r="M330" s="115"/>
      <c r="N330" s="115"/>
      <c r="O330" s="115"/>
      <c r="P330" s="115"/>
      <c r="Q330" s="115">
        <f t="shared" si="5"/>
        <v>5485.59</v>
      </c>
      <c r="R330" s="108"/>
    </row>
    <row r="331" spans="1:18" ht="12.75">
      <c r="A331" s="120">
        <v>325</v>
      </c>
      <c r="B331" s="111" t="s">
        <v>1015</v>
      </c>
      <c r="C331" s="111">
        <v>12360</v>
      </c>
      <c r="D331" s="129" t="s">
        <v>588</v>
      </c>
      <c r="E331" s="115">
        <v>7459.1</v>
      </c>
      <c r="F331" s="115">
        <v>6284.26</v>
      </c>
      <c r="G331" s="115">
        <v>4814.32</v>
      </c>
      <c r="H331" s="115">
        <v>6221.94</v>
      </c>
      <c r="I331" s="115"/>
      <c r="J331" s="115"/>
      <c r="K331" s="114"/>
      <c r="L331" s="115"/>
      <c r="M331" s="115"/>
      <c r="N331" s="115"/>
      <c r="O331" s="115"/>
      <c r="P331" s="115"/>
      <c r="Q331" s="115">
        <f t="shared" si="5"/>
        <v>24779.62</v>
      </c>
      <c r="R331" s="108"/>
    </row>
    <row r="332" spans="1:18" ht="12.75">
      <c r="A332" s="116">
        <v>326</v>
      </c>
      <c r="B332" s="111" t="s">
        <v>1016</v>
      </c>
      <c r="C332" s="111">
        <v>12361</v>
      </c>
      <c r="D332" s="132" t="s">
        <v>585</v>
      </c>
      <c r="E332" s="115">
        <v>2232.55</v>
      </c>
      <c r="F332" s="115">
        <v>1839.71</v>
      </c>
      <c r="G332" s="115">
        <v>1573.94</v>
      </c>
      <c r="H332" s="115">
        <v>1428.44</v>
      </c>
      <c r="I332" s="115"/>
      <c r="J332" s="115"/>
      <c r="K332" s="114"/>
      <c r="L332" s="115"/>
      <c r="M332" s="115"/>
      <c r="N332" s="115"/>
      <c r="O332" s="115"/>
      <c r="P332" s="115"/>
      <c r="Q332" s="115">
        <f t="shared" si="5"/>
        <v>7074.640000000001</v>
      </c>
      <c r="R332" s="108"/>
    </row>
    <row r="333" spans="1:18" ht="12.75">
      <c r="A333" s="120">
        <v>327</v>
      </c>
      <c r="B333" s="111" t="s">
        <v>1017</v>
      </c>
      <c r="C333" s="111">
        <v>11165</v>
      </c>
      <c r="D333" s="132" t="s">
        <v>585</v>
      </c>
      <c r="E333" s="115">
        <v>607.05</v>
      </c>
      <c r="F333" s="115">
        <v>1531.02</v>
      </c>
      <c r="G333" s="115">
        <v>959.92</v>
      </c>
      <c r="H333" s="115">
        <v>1499.32</v>
      </c>
      <c r="I333" s="115"/>
      <c r="J333" s="115"/>
      <c r="K333" s="114"/>
      <c r="L333" s="115"/>
      <c r="M333" s="115"/>
      <c r="N333" s="115"/>
      <c r="O333" s="115"/>
      <c r="P333" s="115"/>
      <c r="Q333" s="115">
        <f t="shared" si="5"/>
        <v>4597.3099999999995</v>
      </c>
      <c r="R333" s="108"/>
    </row>
    <row r="334" spans="1:18" ht="12.75">
      <c r="A334" s="116">
        <v>328</v>
      </c>
      <c r="B334" s="111" t="s">
        <v>1018</v>
      </c>
      <c r="C334" s="111">
        <v>12109</v>
      </c>
      <c r="D334" s="122">
        <v>15</v>
      </c>
      <c r="E334" s="113">
        <f>ROUND(0.04*521.42,0)*3.53*15</f>
        <v>1111.9499999999998</v>
      </c>
      <c r="F334" s="114">
        <f>ROUND(0.04*409.08,0)*3.53*15</f>
        <v>847.1999999999999</v>
      </c>
      <c r="G334" s="114">
        <f>ROUND(0.04*366.33,0)*3.53*15</f>
        <v>794.2499999999999</v>
      </c>
      <c r="H334" s="114">
        <f>ROUND(0.04*254.17,0)*3.53*15</f>
        <v>529.5</v>
      </c>
      <c r="I334" s="115"/>
      <c r="J334" s="115"/>
      <c r="K334" s="114"/>
      <c r="L334" s="114"/>
      <c r="M334" s="114"/>
      <c r="N334" s="114"/>
      <c r="O334" s="114"/>
      <c r="P334" s="114"/>
      <c r="Q334" s="115">
        <f aca="true" t="shared" si="6" ref="Q334:Q397">E334+F334+G334+H334+I334+J334+K334+L334+M334+N334+O334+P334</f>
        <v>3282.8999999999996</v>
      </c>
      <c r="R334" s="108"/>
    </row>
    <row r="335" spans="1:18" ht="12.75">
      <c r="A335" s="120">
        <v>329</v>
      </c>
      <c r="B335" s="111" t="s">
        <v>1019</v>
      </c>
      <c r="C335" s="111">
        <v>11161</v>
      </c>
      <c r="D335" s="155" t="s">
        <v>588</v>
      </c>
      <c r="E335" s="115">
        <v>1505.67</v>
      </c>
      <c r="F335" s="115">
        <v>1430.24</v>
      </c>
      <c r="G335" s="115">
        <v>1208.53</v>
      </c>
      <c r="H335" s="115">
        <v>1228.47</v>
      </c>
      <c r="I335" s="115"/>
      <c r="J335" s="115"/>
      <c r="K335" s="114"/>
      <c r="L335" s="115"/>
      <c r="M335" s="115"/>
      <c r="N335" s="115"/>
      <c r="O335" s="115"/>
      <c r="P335" s="115"/>
      <c r="Q335" s="115">
        <f t="shared" si="6"/>
        <v>5372.91</v>
      </c>
      <c r="R335" s="108"/>
    </row>
    <row r="336" spans="1:18" ht="12.75">
      <c r="A336" s="116">
        <v>330</v>
      </c>
      <c r="B336" s="111" t="s">
        <v>1020</v>
      </c>
      <c r="C336" s="111">
        <v>12113</v>
      </c>
      <c r="D336" s="122">
        <v>4</v>
      </c>
      <c r="E336" s="113">
        <f>ROUND(0.04*521.42,0)*3.53*4</f>
        <v>296.52</v>
      </c>
      <c r="F336" s="114">
        <f>ROUND(0.04*409.08,0)*3.53*4</f>
        <v>225.92</v>
      </c>
      <c r="G336" s="114">
        <f>ROUND(0.04*366.33,0)*3.53*4</f>
        <v>211.79999999999998</v>
      </c>
      <c r="H336" s="114">
        <f>ROUND(0.04*254.17,0)*3.53*4</f>
        <v>141.2</v>
      </c>
      <c r="I336" s="115"/>
      <c r="J336" s="115"/>
      <c r="K336" s="114"/>
      <c r="L336" s="114"/>
      <c r="M336" s="114"/>
      <c r="N336" s="114"/>
      <c r="O336" s="114"/>
      <c r="P336" s="114"/>
      <c r="Q336" s="115">
        <f t="shared" si="6"/>
        <v>875.4399999999998</v>
      </c>
      <c r="R336" s="108"/>
    </row>
    <row r="337" spans="1:18" ht="12.75">
      <c r="A337" s="120">
        <v>331</v>
      </c>
      <c r="B337" s="111" t="s">
        <v>1021</v>
      </c>
      <c r="C337" s="117">
        <v>12118</v>
      </c>
      <c r="D337" s="128">
        <v>16</v>
      </c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>
        <f t="shared" si="6"/>
        <v>0</v>
      </c>
      <c r="R337" s="108" t="s">
        <v>1022</v>
      </c>
    </row>
    <row r="338" spans="1:18" ht="12.75">
      <c r="A338" s="116">
        <v>332</v>
      </c>
      <c r="B338" s="111" t="s">
        <v>376</v>
      </c>
      <c r="C338" s="117">
        <v>12119</v>
      </c>
      <c r="D338" s="128" t="s">
        <v>584</v>
      </c>
      <c r="E338" s="142"/>
      <c r="F338" s="119"/>
      <c r="G338" s="119"/>
      <c r="H338" s="119"/>
      <c r="I338" s="119"/>
      <c r="J338" s="119"/>
      <c r="K338" s="119"/>
      <c r="L338" s="119"/>
      <c r="M338" s="142"/>
      <c r="N338" s="142"/>
      <c r="O338" s="142"/>
      <c r="P338" s="142"/>
      <c r="Q338" s="119">
        <f t="shared" si="6"/>
        <v>0</v>
      </c>
      <c r="R338" s="108"/>
    </row>
    <row r="339" spans="1:18" ht="12.75">
      <c r="A339" s="120">
        <v>333</v>
      </c>
      <c r="B339" s="111" t="s">
        <v>1023</v>
      </c>
      <c r="C339" s="111">
        <v>11162</v>
      </c>
      <c r="D339" s="129" t="s">
        <v>588</v>
      </c>
      <c r="E339" s="115">
        <v>2017.62</v>
      </c>
      <c r="F339" s="115">
        <v>2407.84</v>
      </c>
      <c r="G339" s="115">
        <v>1973.61</v>
      </c>
      <c r="H339" s="115">
        <v>1812.88</v>
      </c>
      <c r="I339" s="115"/>
      <c r="J339" s="115"/>
      <c r="K339" s="114"/>
      <c r="L339" s="115"/>
      <c r="M339" s="115"/>
      <c r="N339" s="115"/>
      <c r="O339" s="115"/>
      <c r="P339" s="115"/>
      <c r="Q339" s="115">
        <f t="shared" si="6"/>
        <v>8211.95</v>
      </c>
      <c r="R339" s="108"/>
    </row>
    <row r="340" spans="1:18" ht="12.75">
      <c r="A340" s="116">
        <v>334</v>
      </c>
      <c r="B340" s="111" t="s">
        <v>1024</v>
      </c>
      <c r="C340" s="111">
        <v>11163</v>
      </c>
      <c r="D340" s="129" t="s">
        <v>588</v>
      </c>
      <c r="E340" s="115">
        <v>2013.14</v>
      </c>
      <c r="F340" s="115">
        <v>1973.31</v>
      </c>
      <c r="G340" s="115">
        <v>1600.26</v>
      </c>
      <c r="H340" s="115">
        <v>1842.69</v>
      </c>
      <c r="I340" s="115"/>
      <c r="J340" s="115"/>
      <c r="K340" s="114"/>
      <c r="L340" s="115"/>
      <c r="M340" s="115"/>
      <c r="N340" s="115"/>
      <c r="O340" s="115"/>
      <c r="P340" s="115"/>
      <c r="Q340" s="115">
        <f t="shared" si="6"/>
        <v>7429.4</v>
      </c>
      <c r="R340" s="108"/>
    </row>
    <row r="341" spans="1:18" ht="12.75">
      <c r="A341" s="120">
        <v>335</v>
      </c>
      <c r="B341" s="111" t="s">
        <v>1025</v>
      </c>
      <c r="C341" s="111">
        <v>11164</v>
      </c>
      <c r="D341" s="129" t="s">
        <v>588</v>
      </c>
      <c r="E341" s="115">
        <v>2606.16</v>
      </c>
      <c r="F341" s="115">
        <v>2869.84</v>
      </c>
      <c r="G341" s="115">
        <v>2132</v>
      </c>
      <c r="H341" s="115">
        <v>1926.43</v>
      </c>
      <c r="I341" s="115"/>
      <c r="J341" s="115"/>
      <c r="K341" s="114"/>
      <c r="L341" s="115"/>
      <c r="M341" s="115"/>
      <c r="N341" s="115"/>
      <c r="O341" s="115"/>
      <c r="P341" s="115"/>
      <c r="Q341" s="115">
        <f t="shared" si="6"/>
        <v>9534.43</v>
      </c>
      <c r="R341" s="108"/>
    </row>
    <row r="342" spans="1:18" ht="12.75">
      <c r="A342" s="116">
        <v>336</v>
      </c>
      <c r="B342" s="111" t="s">
        <v>1026</v>
      </c>
      <c r="C342" s="111">
        <v>12642</v>
      </c>
      <c r="D342" s="122">
        <v>15</v>
      </c>
      <c r="E342" s="113">
        <f>ROUND(0.04*521.42,0)*3.53*15</f>
        <v>1111.9499999999998</v>
      </c>
      <c r="F342" s="114">
        <f>ROUND(0.04*409.08,0)*3.53*15</f>
        <v>847.1999999999999</v>
      </c>
      <c r="G342" s="114">
        <f>ROUND(0.04*366.33,0)*3.53*15</f>
        <v>794.2499999999999</v>
      </c>
      <c r="H342" s="114">
        <f>ROUND(0.04*254.17,0)*3.53*15</f>
        <v>529.5</v>
      </c>
      <c r="I342" s="115"/>
      <c r="J342" s="115"/>
      <c r="K342" s="114"/>
      <c r="L342" s="114"/>
      <c r="M342" s="114"/>
      <c r="N342" s="114"/>
      <c r="O342" s="114"/>
      <c r="P342" s="114"/>
      <c r="Q342" s="115">
        <f t="shared" si="6"/>
        <v>3282.8999999999996</v>
      </c>
      <c r="R342" s="108"/>
    </row>
    <row r="343" spans="1:18" ht="12.75">
      <c r="A343" s="120">
        <v>337</v>
      </c>
      <c r="B343" s="111" t="s">
        <v>381</v>
      </c>
      <c r="C343" s="117">
        <v>12640</v>
      </c>
      <c r="D343" s="128" t="s">
        <v>584</v>
      </c>
      <c r="E343" s="142"/>
      <c r="F343" s="119"/>
      <c r="G343" s="119"/>
      <c r="H343" s="119"/>
      <c r="I343" s="119"/>
      <c r="J343" s="119"/>
      <c r="K343" s="119"/>
      <c r="L343" s="119"/>
      <c r="M343" s="142"/>
      <c r="N343" s="142"/>
      <c r="O343" s="142"/>
      <c r="P343" s="142"/>
      <c r="Q343" s="119">
        <f t="shared" si="6"/>
        <v>0</v>
      </c>
      <c r="R343" s="108"/>
    </row>
    <row r="344" spans="1:17" ht="12.75">
      <c r="A344" s="116">
        <v>338</v>
      </c>
      <c r="B344" s="111" t="s">
        <v>682</v>
      </c>
      <c r="C344" s="121">
        <v>21408</v>
      </c>
      <c r="D344" s="122">
        <v>1</v>
      </c>
      <c r="Q344" s="115">
        <f t="shared" si="6"/>
        <v>0</v>
      </c>
    </row>
    <row r="345" spans="1:17" ht="12.75">
      <c r="A345" s="120">
        <v>339</v>
      </c>
      <c r="B345" s="111" t="s">
        <v>683</v>
      </c>
      <c r="C345" s="111">
        <v>21412</v>
      </c>
      <c r="D345" s="122">
        <v>0</v>
      </c>
      <c r="Q345" s="115">
        <f t="shared" si="6"/>
        <v>0</v>
      </c>
    </row>
    <row r="346" spans="1:18" ht="12.75">
      <c r="A346" s="116">
        <v>340</v>
      </c>
      <c r="B346" s="111" t="s">
        <v>1027</v>
      </c>
      <c r="C346" s="111">
        <v>21678</v>
      </c>
      <c r="D346" s="122" t="s">
        <v>585</v>
      </c>
      <c r="E346" s="115">
        <v>166.32</v>
      </c>
      <c r="F346" s="115">
        <v>164.18</v>
      </c>
      <c r="G346" s="115">
        <v>217.53</v>
      </c>
      <c r="H346" s="115">
        <v>192.63</v>
      </c>
      <c r="I346" s="115"/>
      <c r="J346" s="115"/>
      <c r="K346" s="114"/>
      <c r="L346" s="115"/>
      <c r="M346" s="115"/>
      <c r="N346" s="115"/>
      <c r="O346" s="115"/>
      <c r="P346" s="115"/>
      <c r="Q346" s="115">
        <f t="shared" si="6"/>
        <v>740.66</v>
      </c>
      <c r="R346" s="108"/>
    </row>
    <row r="347" spans="1:18" ht="12.75">
      <c r="A347" s="120">
        <v>341</v>
      </c>
      <c r="B347" s="111" t="s">
        <v>1028</v>
      </c>
      <c r="C347" s="111">
        <v>21675</v>
      </c>
      <c r="D347" s="122" t="s">
        <v>585</v>
      </c>
      <c r="E347" s="115">
        <v>62.54</v>
      </c>
      <c r="F347" s="115">
        <v>64.68</v>
      </c>
      <c r="G347" s="115">
        <v>64.67999999999999</v>
      </c>
      <c r="H347" s="115">
        <v>64.68</v>
      </c>
      <c r="I347" s="115"/>
      <c r="J347" s="115"/>
      <c r="K347" s="114"/>
      <c r="L347" s="115"/>
      <c r="M347" s="115"/>
      <c r="N347" s="115"/>
      <c r="O347" s="115"/>
      <c r="P347" s="115"/>
      <c r="Q347" s="115">
        <f t="shared" si="6"/>
        <v>256.58</v>
      </c>
      <c r="R347" s="108"/>
    </row>
    <row r="348" spans="1:18" ht="12.75">
      <c r="A348" s="116">
        <v>342</v>
      </c>
      <c r="B348" s="111" t="s">
        <v>1029</v>
      </c>
      <c r="C348" s="111">
        <v>21676</v>
      </c>
      <c r="D348" s="122" t="s">
        <v>585</v>
      </c>
      <c r="E348" s="115">
        <v>144.29</v>
      </c>
      <c r="F348" s="115">
        <v>151.39</v>
      </c>
      <c r="G348" s="115">
        <v>190.48999999999998</v>
      </c>
      <c r="H348" s="115">
        <v>199.73</v>
      </c>
      <c r="I348" s="115"/>
      <c r="J348" s="115"/>
      <c r="K348" s="114"/>
      <c r="L348" s="115"/>
      <c r="M348" s="115"/>
      <c r="N348" s="115"/>
      <c r="O348" s="115"/>
      <c r="P348" s="115"/>
      <c r="Q348" s="115">
        <f t="shared" si="6"/>
        <v>685.9</v>
      </c>
      <c r="R348" s="108"/>
    </row>
    <row r="349" spans="1:18" ht="12.75">
      <c r="A349" s="120">
        <v>343</v>
      </c>
      <c r="B349" s="111" t="s">
        <v>1030</v>
      </c>
      <c r="C349" s="111">
        <v>21677</v>
      </c>
      <c r="D349" s="122" t="s">
        <v>585</v>
      </c>
      <c r="E349" s="115">
        <v>27.72</v>
      </c>
      <c r="F349" s="115">
        <v>24.17</v>
      </c>
      <c r="G349" s="115">
        <v>22.03</v>
      </c>
      <c r="H349" s="115">
        <v>24.17</v>
      </c>
      <c r="I349" s="115"/>
      <c r="J349" s="115"/>
      <c r="K349" s="114"/>
      <c r="L349" s="115"/>
      <c r="M349" s="115"/>
      <c r="N349" s="115"/>
      <c r="O349" s="115"/>
      <c r="P349" s="115"/>
      <c r="Q349" s="115">
        <f t="shared" si="6"/>
        <v>98.09</v>
      </c>
      <c r="R349" s="108"/>
    </row>
    <row r="350" spans="1:18" ht="12.75">
      <c r="A350" s="116">
        <v>344</v>
      </c>
      <c r="B350" s="111" t="s">
        <v>1031</v>
      </c>
      <c r="C350" s="111">
        <v>22454</v>
      </c>
      <c r="D350" s="122" t="s">
        <v>714</v>
      </c>
      <c r="E350" s="114">
        <v>2880.86</v>
      </c>
      <c r="F350" s="114">
        <v>2900.85</v>
      </c>
      <c r="G350" s="114">
        <v>2224.92</v>
      </c>
      <c r="H350" s="114">
        <v>1857.18</v>
      </c>
      <c r="I350" s="115"/>
      <c r="J350" s="115"/>
      <c r="K350" s="114"/>
      <c r="L350" s="114"/>
      <c r="M350" s="114"/>
      <c r="N350" s="114"/>
      <c r="O350" s="114"/>
      <c r="P350" s="114"/>
      <c r="Q350" s="115">
        <f t="shared" si="6"/>
        <v>9863.81</v>
      </c>
      <c r="R350" s="108"/>
    </row>
    <row r="351" spans="1:18" ht="12.75">
      <c r="A351" s="120">
        <v>345</v>
      </c>
      <c r="B351" s="111" t="s">
        <v>1032</v>
      </c>
      <c r="C351" s="111">
        <v>22457</v>
      </c>
      <c r="D351" s="130" t="s">
        <v>1033</v>
      </c>
      <c r="E351" s="133">
        <f>46.3*2.83*3.53</f>
        <v>462.53236999999996</v>
      </c>
      <c r="F351" s="133">
        <f>46.3*2.83*3.53</f>
        <v>462.53236999999996</v>
      </c>
      <c r="G351" s="133">
        <f>46.3*2.83*3.53</f>
        <v>462.53236999999996</v>
      </c>
      <c r="H351" s="114"/>
      <c r="I351" s="115"/>
      <c r="J351" s="115"/>
      <c r="K351" s="114"/>
      <c r="L351" s="114"/>
      <c r="M351" s="114"/>
      <c r="N351" s="114"/>
      <c r="O351" s="114"/>
      <c r="P351" s="114"/>
      <c r="Q351" s="115">
        <f t="shared" si="6"/>
        <v>1387.59711</v>
      </c>
      <c r="R351" s="108"/>
    </row>
    <row r="352" spans="1:18" ht="12.75">
      <c r="A352" s="116">
        <v>346</v>
      </c>
      <c r="B352" s="111" t="s">
        <v>388</v>
      </c>
      <c r="C352" s="111">
        <v>22459</v>
      </c>
      <c r="D352" s="130" t="s">
        <v>1034</v>
      </c>
      <c r="E352" s="133">
        <f>19.5*2.83*3.53</f>
        <v>194.80304999999998</v>
      </c>
      <c r="F352" s="133">
        <f>19.5*2.83*3.53</f>
        <v>194.80304999999998</v>
      </c>
      <c r="G352" s="133">
        <f>19.5*2.83*3.53</f>
        <v>194.80304999999998</v>
      </c>
      <c r="H352" s="115"/>
      <c r="I352" s="115"/>
      <c r="J352" s="115"/>
      <c r="K352" s="114"/>
      <c r="L352" s="115"/>
      <c r="M352" s="115"/>
      <c r="N352" s="115"/>
      <c r="O352" s="115"/>
      <c r="P352" s="115"/>
      <c r="Q352" s="115">
        <f t="shared" si="6"/>
        <v>584.40915</v>
      </c>
      <c r="R352" s="108"/>
    </row>
    <row r="353" spans="1:18" ht="12.75">
      <c r="A353" s="120">
        <v>347</v>
      </c>
      <c r="B353" s="111" t="s">
        <v>389</v>
      </c>
      <c r="C353" s="111">
        <v>22458</v>
      </c>
      <c r="D353" s="130" t="s">
        <v>1035</v>
      </c>
      <c r="E353" s="133">
        <f>46.4*2.83*3.53</f>
        <v>463.53136</v>
      </c>
      <c r="F353" s="133">
        <f>46.4*2.83*3.53</f>
        <v>463.53136</v>
      </c>
      <c r="G353" s="133">
        <f>46.4*2.83*3.53</f>
        <v>463.53136</v>
      </c>
      <c r="H353" s="114"/>
      <c r="I353" s="115"/>
      <c r="J353" s="115"/>
      <c r="K353" s="114"/>
      <c r="L353" s="114"/>
      <c r="M353" s="114"/>
      <c r="N353" s="114"/>
      <c r="O353" s="114"/>
      <c r="P353" s="114"/>
      <c r="Q353" s="115">
        <f t="shared" si="6"/>
        <v>1390.59408</v>
      </c>
      <c r="R353" s="108"/>
    </row>
    <row r="354" spans="1:18" ht="12.75">
      <c r="A354" s="116">
        <v>348</v>
      </c>
      <c r="B354" s="111" t="s">
        <v>1036</v>
      </c>
      <c r="C354" s="111">
        <v>22463</v>
      </c>
      <c r="D354" s="149" t="s">
        <v>587</v>
      </c>
      <c r="E354" s="115"/>
      <c r="F354" s="115"/>
      <c r="G354" s="115"/>
      <c r="H354" s="115"/>
      <c r="I354" s="115"/>
      <c r="J354" s="115"/>
      <c r="K354" s="114"/>
      <c r="L354" s="115"/>
      <c r="M354" s="115"/>
      <c r="N354" s="115"/>
      <c r="O354" s="115"/>
      <c r="P354" s="115"/>
      <c r="Q354" s="115">
        <f t="shared" si="6"/>
        <v>0</v>
      </c>
      <c r="R354" s="108"/>
    </row>
    <row r="355" spans="1:18" ht="12.75">
      <c r="A355" s="120">
        <v>349</v>
      </c>
      <c r="B355" s="111" t="s">
        <v>391</v>
      </c>
      <c r="C355" s="111">
        <v>21421</v>
      </c>
      <c r="D355" s="122">
        <v>2</v>
      </c>
      <c r="E355" s="113">
        <f>ROUND(0.04*521.42,0)*3.53*2</f>
        <v>148.26</v>
      </c>
      <c r="F355" s="114">
        <f>ROUND(0.04*409.08,0)*3.53*2</f>
        <v>112.96</v>
      </c>
      <c r="G355" s="114">
        <f>ROUND(0.04*366.33,0)*3.53*2</f>
        <v>105.89999999999999</v>
      </c>
      <c r="H355" s="114">
        <f>ROUND(0.04*254.17,0)*3.53*2</f>
        <v>70.6</v>
      </c>
      <c r="I355" s="114"/>
      <c r="J355" s="115"/>
      <c r="K355" s="114"/>
      <c r="L355" s="114"/>
      <c r="M355" s="114"/>
      <c r="N355" s="114"/>
      <c r="O355" s="114"/>
      <c r="P355" s="114"/>
      <c r="Q355" s="115">
        <f t="shared" si="6"/>
        <v>437.7199999999999</v>
      </c>
      <c r="R355" s="108"/>
    </row>
    <row r="356" spans="1:18" ht="12.75">
      <c r="A356" s="116">
        <v>350</v>
      </c>
      <c r="B356" s="111" t="s">
        <v>1037</v>
      </c>
      <c r="C356" s="111">
        <v>21684</v>
      </c>
      <c r="D356" s="122">
        <v>2</v>
      </c>
      <c r="E356" s="113">
        <f>ROUND(0.04*521.42,0)*3.53*2</f>
        <v>148.26</v>
      </c>
      <c r="F356" s="114">
        <f>ROUND(0.04*409.08,0)*3.53*2</f>
        <v>112.96</v>
      </c>
      <c r="G356" s="114">
        <f>ROUND(0.04*366.33,0)*3.53*2</f>
        <v>105.89999999999999</v>
      </c>
      <c r="H356" s="114">
        <f>ROUND(0.04*254.17,0)*3.53*2</f>
        <v>70.6</v>
      </c>
      <c r="I356" s="114"/>
      <c r="J356" s="115"/>
      <c r="K356" s="114"/>
      <c r="L356" s="114"/>
      <c r="M356" s="114"/>
      <c r="N356" s="114"/>
      <c r="O356" s="114"/>
      <c r="P356" s="114"/>
      <c r="Q356" s="115">
        <f t="shared" si="6"/>
        <v>437.7199999999999</v>
      </c>
      <c r="R356" s="108"/>
    </row>
    <row r="357" spans="1:18" ht="12.75">
      <c r="A357" s="120">
        <v>351</v>
      </c>
      <c r="B357" s="111" t="s">
        <v>395</v>
      </c>
      <c r="C357" s="111">
        <v>12122</v>
      </c>
      <c r="D357" s="122" t="s">
        <v>584</v>
      </c>
      <c r="E357" s="136"/>
      <c r="F357" s="136"/>
      <c r="G357" s="156">
        <f>ROUND(0.04*366.33,0)*3.53*4</f>
        <v>211.79999999999998</v>
      </c>
      <c r="H357" s="156">
        <f>ROUND(0.04*254.17,0)*3.53*4</f>
        <v>141.2</v>
      </c>
      <c r="I357" s="115"/>
      <c r="J357" s="115"/>
      <c r="K357" s="114"/>
      <c r="L357" s="115"/>
      <c r="M357" s="136"/>
      <c r="N357" s="136"/>
      <c r="O357" s="136"/>
      <c r="P357" s="136"/>
      <c r="Q357" s="115">
        <f t="shared" si="6"/>
        <v>353</v>
      </c>
      <c r="R357" s="108"/>
    </row>
    <row r="358" spans="1:18" ht="12.75">
      <c r="A358" s="116">
        <v>352</v>
      </c>
      <c r="B358" s="111" t="s">
        <v>1038</v>
      </c>
      <c r="C358" s="111">
        <v>12127</v>
      </c>
      <c r="D358" s="122">
        <v>5</v>
      </c>
      <c r="E358" s="113">
        <f>ROUND(0.04*521.42,0)*3.53*5</f>
        <v>370.65</v>
      </c>
      <c r="F358" s="114">
        <f>ROUND(0.04*409.08,0)*3.53*5</f>
        <v>282.4</v>
      </c>
      <c r="G358" s="114">
        <f>ROUND(0.04*366.33,0)*3.53*5</f>
        <v>264.75</v>
      </c>
      <c r="H358" s="114">
        <f>ROUND(0.04*254.17,0)*3.53*5</f>
        <v>176.5</v>
      </c>
      <c r="I358" s="115"/>
      <c r="J358" s="115"/>
      <c r="K358" s="114"/>
      <c r="L358" s="114"/>
      <c r="M358" s="114"/>
      <c r="N358" s="114"/>
      <c r="O358" s="114"/>
      <c r="P358" s="114"/>
      <c r="Q358" s="115">
        <f t="shared" si="6"/>
        <v>1094.3</v>
      </c>
      <c r="R358" s="108"/>
    </row>
    <row r="359" spans="1:18" ht="12.75">
      <c r="A359" s="120">
        <v>353</v>
      </c>
      <c r="B359" s="111" t="s">
        <v>684</v>
      </c>
      <c r="C359" s="111">
        <v>21435</v>
      </c>
      <c r="D359" s="122"/>
      <c r="E359" s="115"/>
      <c r="F359" s="115"/>
      <c r="G359" s="115"/>
      <c r="H359" s="115"/>
      <c r="I359" s="115"/>
      <c r="J359" s="115"/>
      <c r="K359" s="114"/>
      <c r="L359" s="115"/>
      <c r="M359" s="115"/>
      <c r="N359" s="115"/>
      <c r="O359" s="115"/>
      <c r="P359" s="115"/>
      <c r="Q359" s="115">
        <f t="shared" si="6"/>
        <v>0</v>
      </c>
      <c r="R359" s="108"/>
    </row>
    <row r="360" spans="1:18" ht="12.75">
      <c r="A360" s="116">
        <v>354</v>
      </c>
      <c r="B360" s="111" t="s">
        <v>630</v>
      </c>
      <c r="C360" s="111">
        <v>21437</v>
      </c>
      <c r="D360" s="122"/>
      <c r="E360" s="127"/>
      <c r="F360" s="127"/>
      <c r="G360" s="127"/>
      <c r="H360" s="127"/>
      <c r="I360" s="115"/>
      <c r="J360" s="115"/>
      <c r="K360" s="114"/>
      <c r="L360" s="115"/>
      <c r="M360" s="115"/>
      <c r="N360" s="115"/>
      <c r="O360" s="115"/>
      <c r="P360" s="127"/>
      <c r="Q360" s="115">
        <f t="shared" si="6"/>
        <v>0</v>
      </c>
      <c r="R360" s="108"/>
    </row>
    <row r="361" spans="1:18" ht="12.75">
      <c r="A361" s="120">
        <v>355</v>
      </c>
      <c r="B361" s="111" t="s">
        <v>1039</v>
      </c>
      <c r="C361" s="117">
        <v>21432</v>
      </c>
      <c r="D361" s="128">
        <v>0</v>
      </c>
      <c r="E361" s="113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>
        <f t="shared" si="6"/>
        <v>0</v>
      </c>
      <c r="R361" s="108"/>
    </row>
    <row r="362" spans="1:18" ht="12.75">
      <c r="A362" s="116">
        <v>356</v>
      </c>
      <c r="B362" s="111" t="s">
        <v>1040</v>
      </c>
      <c r="C362" s="111">
        <v>21433</v>
      </c>
      <c r="D362" s="122">
        <v>6</v>
      </c>
      <c r="E362" s="113">
        <f>ROUND(0.04*521.42,0)*3.53*6</f>
        <v>444.78</v>
      </c>
      <c r="F362" s="114">
        <f>ROUND(0.04*409.08,0)*3.53*6</f>
        <v>338.88</v>
      </c>
      <c r="G362" s="114">
        <f>ROUND(0.04*366.33,0)*3.53*6</f>
        <v>317.7</v>
      </c>
      <c r="H362" s="114">
        <f>ROUND(0.04*254.17,0)*3.53*6</f>
        <v>211.79999999999998</v>
      </c>
      <c r="I362" s="115"/>
      <c r="J362" s="115"/>
      <c r="K362" s="114"/>
      <c r="L362" s="114"/>
      <c r="M362" s="114"/>
      <c r="N362" s="114"/>
      <c r="O362" s="114"/>
      <c r="P362" s="114"/>
      <c r="Q362" s="115">
        <f t="shared" si="6"/>
        <v>1313.1599999999999</v>
      </c>
      <c r="R362" s="108"/>
    </row>
    <row r="363" spans="1:18" ht="12.75">
      <c r="A363" s="120">
        <v>357</v>
      </c>
      <c r="B363" s="111" t="s">
        <v>1041</v>
      </c>
      <c r="C363" s="117">
        <v>12164</v>
      </c>
      <c r="D363" s="122" t="s">
        <v>585</v>
      </c>
      <c r="E363" s="115">
        <v>2194.33</v>
      </c>
      <c r="F363" s="115">
        <v>1392.72</v>
      </c>
      <c r="G363" s="115">
        <v>1997.69</v>
      </c>
      <c r="H363" s="115">
        <v>1966.57</v>
      </c>
      <c r="I363" s="115"/>
      <c r="J363" s="115"/>
      <c r="K363" s="114"/>
      <c r="L363" s="115"/>
      <c r="M363" s="115"/>
      <c r="N363" s="115"/>
      <c r="O363" s="115"/>
      <c r="P363" s="115"/>
      <c r="Q363" s="115">
        <f t="shared" si="6"/>
        <v>7551.3099999999995</v>
      </c>
      <c r="R363" s="108"/>
    </row>
    <row r="364" spans="1:18" ht="12.75">
      <c r="A364" s="116">
        <v>358</v>
      </c>
      <c r="B364" s="111" t="s">
        <v>1042</v>
      </c>
      <c r="C364" s="111">
        <v>12138</v>
      </c>
      <c r="D364" s="122" t="s">
        <v>585</v>
      </c>
      <c r="E364" s="115">
        <v>2852.23</v>
      </c>
      <c r="F364" s="115">
        <v>1698.49</v>
      </c>
      <c r="G364" s="115">
        <v>1124.9299999999998</v>
      </c>
      <c r="H364" s="115">
        <v>1481.58</v>
      </c>
      <c r="I364" s="115"/>
      <c r="J364" s="115"/>
      <c r="K364" s="114"/>
      <c r="L364" s="115"/>
      <c r="M364" s="115"/>
      <c r="N364" s="115"/>
      <c r="O364" s="115"/>
      <c r="P364" s="115"/>
      <c r="Q364" s="115">
        <f t="shared" si="6"/>
        <v>7157.23</v>
      </c>
      <c r="R364" s="108"/>
    </row>
    <row r="365" spans="1:18" ht="12.75">
      <c r="A365" s="120">
        <v>359</v>
      </c>
      <c r="B365" s="111" t="s">
        <v>1043</v>
      </c>
      <c r="C365" s="111">
        <v>12139</v>
      </c>
      <c r="D365" s="122" t="s">
        <v>585</v>
      </c>
      <c r="E365" s="115">
        <v>1125.24</v>
      </c>
      <c r="F365" s="115">
        <v>808.46</v>
      </c>
      <c r="G365" s="115">
        <v>714.6</v>
      </c>
      <c r="H365" s="115">
        <v>689.9</v>
      </c>
      <c r="I365" s="115"/>
      <c r="J365" s="115"/>
      <c r="K365" s="114"/>
      <c r="L365" s="115"/>
      <c r="M365" s="115"/>
      <c r="N365" s="115"/>
      <c r="O365" s="115"/>
      <c r="P365" s="115"/>
      <c r="Q365" s="115">
        <f t="shared" si="6"/>
        <v>3338.2000000000003</v>
      </c>
      <c r="R365" s="108"/>
    </row>
    <row r="366" spans="1:18" ht="12.75">
      <c r="A366" s="116">
        <v>360</v>
      </c>
      <c r="B366" s="111" t="s">
        <v>1044</v>
      </c>
      <c r="C366" s="111">
        <v>12143</v>
      </c>
      <c r="D366" s="126" t="s">
        <v>583</v>
      </c>
      <c r="E366" s="115">
        <v>66590.07</v>
      </c>
      <c r="F366" s="115">
        <v>51528</v>
      </c>
      <c r="G366" s="115">
        <v>50190.00000000001</v>
      </c>
      <c r="H366" s="115">
        <v>54660</v>
      </c>
      <c r="I366" s="115"/>
      <c r="J366" s="115"/>
      <c r="K366" s="114"/>
      <c r="L366" s="115"/>
      <c r="M366" s="115"/>
      <c r="N366" s="115"/>
      <c r="O366" s="115"/>
      <c r="P366" s="115"/>
      <c r="Q366" s="115">
        <f t="shared" si="6"/>
        <v>222968.07</v>
      </c>
      <c r="R366" s="108"/>
    </row>
    <row r="367" spans="1:18" ht="12.75">
      <c r="A367" s="120">
        <v>361</v>
      </c>
      <c r="B367" s="111" t="s">
        <v>403</v>
      </c>
      <c r="C367" s="111">
        <v>12648</v>
      </c>
      <c r="D367" s="122" t="s">
        <v>584</v>
      </c>
      <c r="E367" s="136"/>
      <c r="F367" s="115"/>
      <c r="G367" s="115"/>
      <c r="H367" s="115"/>
      <c r="I367" s="115"/>
      <c r="J367" s="115"/>
      <c r="K367" s="114"/>
      <c r="L367" s="115"/>
      <c r="M367" s="136"/>
      <c r="N367" s="136"/>
      <c r="O367" s="136"/>
      <c r="P367" s="136"/>
      <c r="Q367" s="115">
        <f t="shared" si="6"/>
        <v>0</v>
      </c>
      <c r="R367" s="108"/>
    </row>
    <row r="368" spans="1:17" ht="12.75">
      <c r="A368" s="116">
        <v>362</v>
      </c>
      <c r="B368" s="111" t="s">
        <v>1045</v>
      </c>
      <c r="Q368" s="115">
        <f t="shared" si="6"/>
        <v>0</v>
      </c>
    </row>
    <row r="369" spans="1:18" ht="12.75">
      <c r="A369" s="120">
        <v>363</v>
      </c>
      <c r="B369" s="111" t="s">
        <v>685</v>
      </c>
      <c r="C369" s="125">
        <v>12647</v>
      </c>
      <c r="D369" s="122" t="s">
        <v>717</v>
      </c>
      <c r="E369" s="113"/>
      <c r="F369" s="115"/>
      <c r="G369" s="115"/>
      <c r="H369" s="115"/>
      <c r="I369" s="115"/>
      <c r="J369" s="115"/>
      <c r="K369" s="114"/>
      <c r="L369" s="115"/>
      <c r="M369" s="115"/>
      <c r="N369" s="115"/>
      <c r="O369" s="115"/>
      <c r="P369" s="115"/>
      <c r="Q369" s="115">
        <f t="shared" si="6"/>
        <v>0</v>
      </c>
      <c r="R369" s="108" t="s">
        <v>716</v>
      </c>
    </row>
    <row r="370" spans="1:18" ht="12.75">
      <c r="A370" s="116">
        <v>364</v>
      </c>
      <c r="B370" s="111" t="s">
        <v>1046</v>
      </c>
      <c r="C370" s="111">
        <v>21831</v>
      </c>
      <c r="D370" s="132" t="s">
        <v>710</v>
      </c>
      <c r="E370" s="115">
        <v>617.09</v>
      </c>
      <c r="F370" s="115">
        <v>617.09</v>
      </c>
      <c r="G370" s="115">
        <v>504.17</v>
      </c>
      <c r="H370" s="115">
        <v>467.94</v>
      </c>
      <c r="I370" s="115"/>
      <c r="J370" s="115"/>
      <c r="K370" s="157"/>
      <c r="L370" s="158"/>
      <c r="M370" s="115"/>
      <c r="N370" s="115"/>
      <c r="O370" s="115"/>
      <c r="P370" s="115"/>
      <c r="Q370" s="115">
        <f t="shared" si="6"/>
        <v>2206.29</v>
      </c>
      <c r="R370" s="108"/>
    </row>
    <row r="371" spans="1:17" ht="12.75">
      <c r="A371" s="120">
        <v>365</v>
      </c>
      <c r="B371" s="111" t="s">
        <v>1047</v>
      </c>
      <c r="C371" s="111">
        <v>10021</v>
      </c>
      <c r="D371" s="132" t="s">
        <v>1048</v>
      </c>
      <c r="E371" s="115">
        <v>4764.1</v>
      </c>
      <c r="F371" s="115">
        <v>4525.57</v>
      </c>
      <c r="G371" s="99">
        <v>4336.6900000000005</v>
      </c>
      <c r="H371" s="99">
        <v>4049.14</v>
      </c>
      <c r="Q371" s="115">
        <f t="shared" si="6"/>
        <v>17675.5</v>
      </c>
    </row>
    <row r="372" spans="1:18" ht="12.75">
      <c r="A372" s="116">
        <v>366</v>
      </c>
      <c r="B372" s="111" t="s">
        <v>1049</v>
      </c>
      <c r="C372" s="111">
        <v>12275</v>
      </c>
      <c r="D372" s="122">
        <v>6</v>
      </c>
      <c r="E372" s="113">
        <f>ROUND(0.04*521.42,0)*3.53*6</f>
        <v>444.78</v>
      </c>
      <c r="F372" s="114">
        <f>ROUND(0.04*409.08,0)*3.53*6</f>
        <v>338.88</v>
      </c>
      <c r="G372" s="114">
        <f>ROUND(0.04*366.33,0)*3.53*6</f>
        <v>317.7</v>
      </c>
      <c r="H372" s="114">
        <f>ROUND(0.04*254.17,0)*3.53*6</f>
        <v>211.79999999999998</v>
      </c>
      <c r="I372" s="115"/>
      <c r="J372" s="115"/>
      <c r="K372" s="114"/>
      <c r="L372" s="114"/>
      <c r="M372" s="114"/>
      <c r="N372" s="114"/>
      <c r="O372" s="114"/>
      <c r="P372" s="114"/>
      <c r="Q372" s="115">
        <f t="shared" si="6"/>
        <v>1313.1599999999999</v>
      </c>
      <c r="R372" s="108"/>
    </row>
    <row r="373" spans="1:18" ht="12.75">
      <c r="A373" s="120">
        <v>367</v>
      </c>
      <c r="B373" s="111" t="s">
        <v>1050</v>
      </c>
      <c r="C373" s="111">
        <v>12284</v>
      </c>
      <c r="D373" s="122">
        <v>10</v>
      </c>
      <c r="E373" s="113">
        <f>ROUND(0.04*521.42,0)*3.53*10</f>
        <v>741.3</v>
      </c>
      <c r="F373" s="114">
        <f>ROUND(0.04*409.08,0)*3.53*10</f>
        <v>564.8</v>
      </c>
      <c r="G373" s="114">
        <f>ROUND(0.04*366.33,0)*3.53*10</f>
        <v>529.5</v>
      </c>
      <c r="H373" s="114">
        <f>ROUND(0.04*254.17,0)*3.53*10</f>
        <v>353</v>
      </c>
      <c r="I373" s="115"/>
      <c r="J373" s="115"/>
      <c r="K373" s="114"/>
      <c r="L373" s="114"/>
      <c r="M373" s="114"/>
      <c r="N373" s="114"/>
      <c r="O373" s="114"/>
      <c r="P373" s="114"/>
      <c r="Q373" s="115">
        <f t="shared" si="6"/>
        <v>2188.6</v>
      </c>
      <c r="R373" s="108"/>
    </row>
    <row r="374" spans="1:18" ht="12.75">
      <c r="A374" s="116">
        <v>368</v>
      </c>
      <c r="B374" s="111" t="s">
        <v>1051</v>
      </c>
      <c r="C374" s="111">
        <v>12285</v>
      </c>
      <c r="D374" s="122">
        <v>9</v>
      </c>
      <c r="E374" s="113">
        <f>ROUND(0.04*521.42,0)*3.53*9</f>
        <v>667.17</v>
      </c>
      <c r="F374" s="114">
        <f>ROUND(0.04*409.08,0)*3.53*9</f>
        <v>508.32</v>
      </c>
      <c r="G374" s="114">
        <f>ROUND(0.04*366.33,0)*3.53*9</f>
        <v>476.54999999999995</v>
      </c>
      <c r="H374" s="114">
        <f>ROUND(0.04*254.17,0)*3.53*9</f>
        <v>317.7</v>
      </c>
      <c r="I374" s="115"/>
      <c r="J374" s="115"/>
      <c r="K374" s="114"/>
      <c r="L374" s="114"/>
      <c r="M374" s="114"/>
      <c r="N374" s="114"/>
      <c r="O374" s="114"/>
      <c r="P374" s="114"/>
      <c r="Q374" s="115">
        <f t="shared" si="6"/>
        <v>1969.74</v>
      </c>
      <c r="R374" s="108"/>
    </row>
    <row r="375" spans="1:18" ht="12.75">
      <c r="A375" s="120">
        <v>369</v>
      </c>
      <c r="B375" s="111" t="s">
        <v>1052</v>
      </c>
      <c r="C375" s="111">
        <v>12276</v>
      </c>
      <c r="D375" s="132" t="s">
        <v>585</v>
      </c>
      <c r="E375" s="115">
        <v>634.11</v>
      </c>
      <c r="F375" s="115">
        <v>618.4</v>
      </c>
      <c r="G375" s="115">
        <v>563.1099999999999</v>
      </c>
      <c r="H375" s="115">
        <v>499.01</v>
      </c>
      <c r="I375" s="115"/>
      <c r="J375" s="115"/>
      <c r="K375" s="114"/>
      <c r="L375" s="115"/>
      <c r="M375" s="115"/>
      <c r="N375" s="115"/>
      <c r="O375" s="115"/>
      <c r="P375" s="115"/>
      <c r="Q375" s="115">
        <f t="shared" si="6"/>
        <v>2314.63</v>
      </c>
      <c r="R375" s="108"/>
    </row>
    <row r="376" spans="1:18" ht="12.75">
      <c r="A376" s="116">
        <v>370</v>
      </c>
      <c r="B376" s="111" t="s">
        <v>1053</v>
      </c>
      <c r="C376" s="111">
        <v>12277</v>
      </c>
      <c r="D376" s="132" t="s">
        <v>585</v>
      </c>
      <c r="E376" s="115">
        <v>325.74</v>
      </c>
      <c r="F376" s="115">
        <v>227.65</v>
      </c>
      <c r="G376" s="115">
        <v>194.97</v>
      </c>
      <c r="H376" s="115">
        <v>168.03</v>
      </c>
      <c r="I376" s="115"/>
      <c r="J376" s="115"/>
      <c r="K376" s="114"/>
      <c r="L376" s="115"/>
      <c r="M376" s="115"/>
      <c r="N376" s="115"/>
      <c r="O376" s="115"/>
      <c r="P376" s="115"/>
      <c r="Q376" s="115">
        <f t="shared" si="6"/>
        <v>916.39</v>
      </c>
      <c r="R376" s="108"/>
    </row>
    <row r="377" spans="1:18" ht="12.75">
      <c r="A377" s="120">
        <v>371</v>
      </c>
      <c r="B377" s="111" t="s">
        <v>1054</v>
      </c>
      <c r="C377" s="111">
        <v>12278</v>
      </c>
      <c r="D377" s="122">
        <v>2</v>
      </c>
      <c r="E377" s="113">
        <f>ROUND(0.04*521.42,0)*3.53*2</f>
        <v>148.26</v>
      </c>
      <c r="F377" s="114">
        <f>ROUND(0.04*409.08,0)*3.53*2</f>
        <v>112.96</v>
      </c>
      <c r="G377" s="114">
        <f>ROUND(0.04*366.33,0)*3.53*2</f>
        <v>105.89999999999999</v>
      </c>
      <c r="H377" s="114">
        <f>ROUND(0.04*254.17,0)*3.53*2</f>
        <v>70.6</v>
      </c>
      <c r="I377" s="114"/>
      <c r="J377" s="115"/>
      <c r="K377" s="114"/>
      <c r="L377" s="114"/>
      <c r="M377" s="114"/>
      <c r="N377" s="114"/>
      <c r="O377" s="114"/>
      <c r="P377" s="114"/>
      <c r="Q377" s="115">
        <f t="shared" si="6"/>
        <v>437.7199999999999</v>
      </c>
      <c r="R377" s="108"/>
    </row>
    <row r="378" spans="1:18" ht="12.75">
      <c r="A378" s="116">
        <v>372</v>
      </c>
      <c r="B378" s="111" t="s">
        <v>1055</v>
      </c>
      <c r="C378" s="111">
        <v>12279</v>
      </c>
      <c r="D378" s="122">
        <v>9</v>
      </c>
      <c r="E378" s="113">
        <f>ROUND(0.04*521.42,0)*3.53*9</f>
        <v>667.17</v>
      </c>
      <c r="F378" s="114">
        <f>ROUND(0.04*409.08,0)*3.53*9</f>
        <v>508.32</v>
      </c>
      <c r="G378" s="114">
        <f>ROUND(0.04*366.33,0)*3.53*9</f>
        <v>476.54999999999995</v>
      </c>
      <c r="H378" s="114">
        <f>ROUND(0.04*254.17,0)*3.53*9</f>
        <v>317.7</v>
      </c>
      <c r="I378" s="115"/>
      <c r="J378" s="115"/>
      <c r="K378" s="114"/>
      <c r="L378" s="114"/>
      <c r="M378" s="114"/>
      <c r="N378" s="114"/>
      <c r="O378" s="114"/>
      <c r="P378" s="114"/>
      <c r="Q378" s="115">
        <f t="shared" si="6"/>
        <v>1969.74</v>
      </c>
      <c r="R378" s="108"/>
    </row>
    <row r="379" spans="1:18" ht="12.75">
      <c r="A379" s="120">
        <v>373</v>
      </c>
      <c r="B379" s="111" t="s">
        <v>1056</v>
      </c>
      <c r="C379" s="111">
        <v>12280</v>
      </c>
      <c r="D379" s="122">
        <v>8</v>
      </c>
      <c r="E379" s="113">
        <f>ROUND(0.04*521.42,0)*3.53*8</f>
        <v>593.04</v>
      </c>
      <c r="F379" s="114">
        <f>ROUND(0.04*409.08,0)*3.53*8</f>
        <v>451.84</v>
      </c>
      <c r="G379" s="114">
        <f>ROUND(0.04*366.33,0)*3.53*8</f>
        <v>423.59999999999997</v>
      </c>
      <c r="H379" s="114">
        <f>ROUND(0.04*254.17,0)*3.53*8</f>
        <v>282.4</v>
      </c>
      <c r="I379" s="115"/>
      <c r="J379" s="115"/>
      <c r="K379" s="114"/>
      <c r="L379" s="114"/>
      <c r="M379" s="114"/>
      <c r="N379" s="114"/>
      <c r="O379" s="114"/>
      <c r="P379" s="114"/>
      <c r="Q379" s="115">
        <f t="shared" si="6"/>
        <v>1750.8799999999997</v>
      </c>
      <c r="R379" s="108"/>
    </row>
    <row r="380" spans="1:18" ht="12.75">
      <c r="A380" s="116">
        <v>374</v>
      </c>
      <c r="B380" s="111" t="s">
        <v>1057</v>
      </c>
      <c r="C380" s="111">
        <v>12281</v>
      </c>
      <c r="D380" s="122">
        <v>9</v>
      </c>
      <c r="E380" s="113">
        <f>ROUND(0.04*521.42,0)*3.53*9</f>
        <v>667.17</v>
      </c>
      <c r="F380" s="114">
        <f>ROUND(0.04*409.08,0)*3.53*9</f>
        <v>508.32</v>
      </c>
      <c r="G380" s="114">
        <f>ROUND(0.04*366.33,0)*3.53*9</f>
        <v>476.54999999999995</v>
      </c>
      <c r="H380" s="114">
        <f>ROUND(0.04*254.17,0)*3.53*9</f>
        <v>317.7</v>
      </c>
      <c r="I380" s="115"/>
      <c r="J380" s="115"/>
      <c r="K380" s="114"/>
      <c r="L380" s="114"/>
      <c r="M380" s="114"/>
      <c r="N380" s="114"/>
      <c r="O380" s="114"/>
      <c r="P380" s="114"/>
      <c r="Q380" s="115">
        <f t="shared" si="6"/>
        <v>1969.74</v>
      </c>
      <c r="R380" s="108"/>
    </row>
    <row r="381" spans="1:18" ht="12.75">
      <c r="A381" s="120">
        <v>375</v>
      </c>
      <c r="B381" s="111" t="s">
        <v>686</v>
      </c>
      <c r="C381" s="121">
        <v>12282</v>
      </c>
      <c r="D381" s="122" t="s">
        <v>717</v>
      </c>
      <c r="E381" s="115"/>
      <c r="F381" s="115"/>
      <c r="G381" s="115"/>
      <c r="H381" s="115"/>
      <c r="I381" s="115"/>
      <c r="J381" s="115"/>
      <c r="K381" s="114"/>
      <c r="L381" s="115"/>
      <c r="M381" s="115"/>
      <c r="N381" s="115"/>
      <c r="O381" s="115"/>
      <c r="P381" s="127"/>
      <c r="Q381" s="115">
        <f t="shared" si="6"/>
        <v>0</v>
      </c>
      <c r="R381" s="108" t="s">
        <v>716</v>
      </c>
    </row>
    <row r="382" spans="1:18" ht="12.75">
      <c r="A382" s="116">
        <v>376</v>
      </c>
      <c r="B382" s="111" t="s">
        <v>1058</v>
      </c>
      <c r="C382" s="111">
        <v>12283</v>
      </c>
      <c r="D382" s="122">
        <v>10</v>
      </c>
      <c r="E382" s="113">
        <f>ROUND(0.04*521.42,0)*3.53*10</f>
        <v>741.3</v>
      </c>
      <c r="F382" s="114">
        <f>ROUND(0.04*409.08,0)*3.53*10</f>
        <v>564.8</v>
      </c>
      <c r="G382" s="114">
        <f>ROUND(0.04*366.33,0)*3.53*10</f>
        <v>529.5</v>
      </c>
      <c r="H382" s="114">
        <f>ROUND(0.04*254.17,0)*3.53*10</f>
        <v>353</v>
      </c>
      <c r="I382" s="115"/>
      <c r="J382" s="115"/>
      <c r="K382" s="114"/>
      <c r="L382" s="114"/>
      <c r="M382" s="114"/>
      <c r="N382" s="114"/>
      <c r="O382" s="114"/>
      <c r="P382" s="114"/>
      <c r="Q382" s="115">
        <f t="shared" si="6"/>
        <v>2188.6</v>
      </c>
      <c r="R382" s="108"/>
    </row>
    <row r="383" spans="1:18" ht="12.75">
      <c r="A383" s="120">
        <v>377</v>
      </c>
      <c r="B383" s="111" t="s">
        <v>1059</v>
      </c>
      <c r="C383" s="117">
        <v>21444</v>
      </c>
      <c r="D383" s="128">
        <v>3</v>
      </c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>
        <f t="shared" si="6"/>
        <v>0</v>
      </c>
      <c r="R383" s="108" t="s">
        <v>1060</v>
      </c>
    </row>
    <row r="384" spans="1:17" ht="12.75">
      <c r="A384" s="116">
        <v>378</v>
      </c>
      <c r="B384" s="111" t="s">
        <v>1061</v>
      </c>
      <c r="Q384" s="115">
        <f t="shared" si="6"/>
        <v>0</v>
      </c>
    </row>
    <row r="385" spans="1:18" ht="12.75">
      <c r="A385" s="120">
        <v>379</v>
      </c>
      <c r="B385" s="111" t="s">
        <v>1062</v>
      </c>
      <c r="C385" s="117">
        <v>23648</v>
      </c>
      <c r="D385" s="126" t="s">
        <v>583</v>
      </c>
      <c r="E385" s="115"/>
      <c r="F385" s="115"/>
      <c r="G385" s="115"/>
      <c r="H385" s="115"/>
      <c r="I385" s="115"/>
      <c r="J385" s="115"/>
      <c r="K385" s="114"/>
      <c r="L385" s="115"/>
      <c r="M385" s="115"/>
      <c r="N385" s="115"/>
      <c r="O385" s="115"/>
      <c r="P385" s="115"/>
      <c r="Q385" s="115">
        <f t="shared" si="6"/>
        <v>0</v>
      </c>
      <c r="R385" s="108"/>
    </row>
    <row r="386" spans="1:18" ht="12.75">
      <c r="A386" s="116">
        <v>380</v>
      </c>
      <c r="B386" s="111" t="s">
        <v>687</v>
      </c>
      <c r="C386" s="121">
        <v>23653</v>
      </c>
      <c r="D386" s="122" t="s">
        <v>717</v>
      </c>
      <c r="E386" s="115"/>
      <c r="F386" s="115"/>
      <c r="G386" s="115"/>
      <c r="H386" s="115"/>
      <c r="I386" s="115"/>
      <c r="J386" s="115"/>
      <c r="K386" s="114"/>
      <c r="L386" s="115"/>
      <c r="M386" s="115"/>
      <c r="N386" s="115"/>
      <c r="O386" s="115"/>
      <c r="P386" s="115"/>
      <c r="Q386" s="115">
        <f t="shared" si="6"/>
        <v>0</v>
      </c>
      <c r="R386" s="108" t="s">
        <v>723</v>
      </c>
    </row>
    <row r="387" spans="1:18" ht="12.75">
      <c r="A387" s="120">
        <v>381</v>
      </c>
      <c r="B387" s="111" t="s">
        <v>1063</v>
      </c>
      <c r="C387" s="117">
        <v>23020</v>
      </c>
      <c r="D387" s="128">
        <v>4</v>
      </c>
      <c r="E387" s="119">
        <f>ROUND(0.04*521.42,0)*3.53*4</f>
        <v>296.52</v>
      </c>
      <c r="F387" s="119">
        <f>ROUND(0.04*409.08,0)*3.53*4</f>
        <v>225.92</v>
      </c>
      <c r="G387" s="119">
        <f>ROUND(0.04*366.33,0)*3.53*4</f>
        <v>211.79999999999998</v>
      </c>
      <c r="H387" s="119">
        <f>ROUND(0.04*254.17,0)*3.53*4</f>
        <v>141.2</v>
      </c>
      <c r="I387" s="119"/>
      <c r="J387" s="119"/>
      <c r="K387" s="119"/>
      <c r="L387" s="119"/>
      <c r="M387" s="119"/>
      <c r="N387" s="119"/>
      <c r="O387" s="119"/>
      <c r="P387" s="119"/>
      <c r="Q387" s="119">
        <f t="shared" si="6"/>
        <v>875.4399999999998</v>
      </c>
      <c r="R387" s="108" t="s">
        <v>1064</v>
      </c>
    </row>
    <row r="388" spans="1:18" ht="12.75">
      <c r="A388" s="116">
        <v>382</v>
      </c>
      <c r="B388" s="111" t="s">
        <v>1065</v>
      </c>
      <c r="C388" s="111">
        <v>23010</v>
      </c>
      <c r="D388" s="122" t="s">
        <v>585</v>
      </c>
      <c r="E388" s="115">
        <v>1198.05</v>
      </c>
      <c r="F388" s="115">
        <v>1199.05</v>
      </c>
      <c r="G388" s="115">
        <v>2147.8</v>
      </c>
      <c r="H388" s="115">
        <v>0</v>
      </c>
      <c r="I388" s="115"/>
      <c r="J388" s="115"/>
      <c r="K388" s="114"/>
      <c r="L388" s="115"/>
      <c r="M388" s="115"/>
      <c r="N388" s="115"/>
      <c r="O388" s="115"/>
      <c r="P388" s="115"/>
      <c r="Q388" s="115">
        <f t="shared" si="6"/>
        <v>4544.9</v>
      </c>
      <c r="R388" s="108"/>
    </row>
    <row r="389" spans="1:18" ht="12.75">
      <c r="A389" s="120">
        <v>383</v>
      </c>
      <c r="B389" s="111" t="s">
        <v>1066</v>
      </c>
      <c r="C389" s="111">
        <v>23013</v>
      </c>
      <c r="D389" s="122" t="s">
        <v>585</v>
      </c>
      <c r="E389" s="115">
        <v>1990.12</v>
      </c>
      <c r="F389" s="115">
        <v>1533.28</v>
      </c>
      <c r="G389" s="115">
        <v>1265.62</v>
      </c>
      <c r="H389" s="115">
        <v>857.02</v>
      </c>
      <c r="I389" s="115"/>
      <c r="J389" s="115"/>
      <c r="K389" s="114"/>
      <c r="L389" s="115"/>
      <c r="M389" s="115"/>
      <c r="N389" s="115"/>
      <c r="O389" s="115"/>
      <c r="P389" s="115"/>
      <c r="Q389" s="115">
        <f t="shared" si="6"/>
        <v>5646.039999999999</v>
      </c>
      <c r="R389" s="108"/>
    </row>
    <row r="390" spans="1:18" ht="12.75">
      <c r="A390" s="116">
        <v>384</v>
      </c>
      <c r="B390" s="111" t="s">
        <v>1067</v>
      </c>
      <c r="C390" s="111">
        <v>23001</v>
      </c>
      <c r="D390" s="122" t="s">
        <v>585</v>
      </c>
      <c r="E390" s="115">
        <v>706.09</v>
      </c>
      <c r="F390" s="115">
        <v>455.88</v>
      </c>
      <c r="G390" s="115">
        <v>370.63</v>
      </c>
      <c r="H390" s="115">
        <v>269.72</v>
      </c>
      <c r="I390" s="115"/>
      <c r="J390" s="115"/>
      <c r="K390" s="114"/>
      <c r="L390" s="115"/>
      <c r="M390" s="115"/>
      <c r="N390" s="115"/>
      <c r="O390" s="115"/>
      <c r="P390" s="115"/>
      <c r="Q390" s="115">
        <f t="shared" si="6"/>
        <v>1802.32</v>
      </c>
      <c r="R390" s="108"/>
    </row>
    <row r="391" spans="1:18" ht="12.75">
      <c r="A391" s="120">
        <v>385</v>
      </c>
      <c r="B391" s="111" t="s">
        <v>1068</v>
      </c>
      <c r="C391" s="111">
        <v>23002</v>
      </c>
      <c r="D391" s="122" t="s">
        <v>585</v>
      </c>
      <c r="E391" s="115">
        <v>1039.89</v>
      </c>
      <c r="F391" s="115">
        <v>946.08</v>
      </c>
      <c r="G391" s="115">
        <v>651.8599999999999</v>
      </c>
      <c r="H391" s="115">
        <v>690.38</v>
      </c>
      <c r="I391" s="115"/>
      <c r="J391" s="115"/>
      <c r="K391" s="114"/>
      <c r="L391" s="115"/>
      <c r="M391" s="115"/>
      <c r="N391" s="115"/>
      <c r="O391" s="115"/>
      <c r="P391" s="115"/>
      <c r="Q391" s="115">
        <f t="shared" si="6"/>
        <v>3328.21</v>
      </c>
      <c r="R391" s="108"/>
    </row>
    <row r="392" spans="1:18" ht="12.75">
      <c r="A392" s="116">
        <v>386</v>
      </c>
      <c r="B392" s="111" t="s">
        <v>1069</v>
      </c>
      <c r="C392" s="111">
        <v>23003</v>
      </c>
      <c r="D392" s="122" t="s">
        <v>585</v>
      </c>
      <c r="E392" s="115">
        <v>950.56</v>
      </c>
      <c r="F392" s="115">
        <v>691.16</v>
      </c>
      <c r="G392" s="115">
        <v>711.78</v>
      </c>
      <c r="H392" s="115">
        <v>593.37</v>
      </c>
      <c r="I392" s="115"/>
      <c r="J392" s="115"/>
      <c r="K392" s="114"/>
      <c r="L392" s="115"/>
      <c r="M392" s="115"/>
      <c r="N392" s="115"/>
      <c r="O392" s="115"/>
      <c r="P392" s="115"/>
      <c r="Q392" s="115">
        <f t="shared" si="6"/>
        <v>2946.87</v>
      </c>
      <c r="R392" s="108"/>
    </row>
    <row r="393" spans="1:18" ht="12.75">
      <c r="A393" s="120">
        <v>387</v>
      </c>
      <c r="B393" s="111" t="s">
        <v>1070</v>
      </c>
      <c r="C393" s="141">
        <v>23004</v>
      </c>
      <c r="D393" s="122" t="s">
        <v>585</v>
      </c>
      <c r="E393" s="115">
        <v>1328.72</v>
      </c>
      <c r="F393" s="115">
        <v>886.61</v>
      </c>
      <c r="G393" s="115">
        <v>839.8799999999999</v>
      </c>
      <c r="H393" s="115">
        <v>715.43</v>
      </c>
      <c r="I393" s="115"/>
      <c r="J393" s="115"/>
      <c r="K393" s="114"/>
      <c r="L393" s="115"/>
      <c r="M393" s="115"/>
      <c r="N393" s="115"/>
      <c r="O393" s="115"/>
      <c r="P393" s="115"/>
      <c r="Q393" s="115">
        <f t="shared" si="6"/>
        <v>3770.64</v>
      </c>
      <c r="R393" s="108"/>
    </row>
    <row r="394" spans="1:18" ht="12.75">
      <c r="A394" s="116">
        <v>388</v>
      </c>
      <c r="B394" s="111" t="s">
        <v>1071</v>
      </c>
      <c r="C394" s="111">
        <v>21819</v>
      </c>
      <c r="D394" s="129" t="s">
        <v>588</v>
      </c>
      <c r="E394" s="115">
        <v>15243.76</v>
      </c>
      <c r="F394" s="115">
        <v>2197.92</v>
      </c>
      <c r="G394" s="115">
        <v>11336.8</v>
      </c>
      <c r="H394" s="115">
        <v>14060.96</v>
      </c>
      <c r="I394" s="115"/>
      <c r="J394" s="115"/>
      <c r="K394" s="114"/>
      <c r="L394" s="115"/>
      <c r="M394" s="115"/>
      <c r="N394" s="115"/>
      <c r="O394" s="115"/>
      <c r="P394" s="115"/>
      <c r="Q394" s="115">
        <f t="shared" si="6"/>
        <v>42839.44</v>
      </c>
      <c r="R394" s="108"/>
    </row>
    <row r="395" spans="1:18" ht="12.75">
      <c r="A395" s="120">
        <v>389</v>
      </c>
      <c r="B395" s="111" t="s">
        <v>1072</v>
      </c>
      <c r="C395" s="111">
        <v>21812</v>
      </c>
      <c r="D395" s="129" t="s">
        <v>588</v>
      </c>
      <c r="E395" s="115">
        <v>3548.85</v>
      </c>
      <c r="F395" s="159">
        <v>2691.82</v>
      </c>
      <c r="G395" s="159">
        <v>4091.27</v>
      </c>
      <c r="H395" s="159">
        <v>4114.13</v>
      </c>
      <c r="I395" s="115"/>
      <c r="J395" s="115"/>
      <c r="K395" s="114"/>
      <c r="L395" s="115"/>
      <c r="M395" s="115"/>
      <c r="N395" s="115"/>
      <c r="O395" s="115"/>
      <c r="P395" s="115"/>
      <c r="Q395" s="115">
        <f t="shared" si="6"/>
        <v>14446.07</v>
      </c>
      <c r="R395" s="108"/>
    </row>
    <row r="396" spans="1:18" ht="12.75">
      <c r="A396" s="116">
        <v>390</v>
      </c>
      <c r="B396" s="111" t="s">
        <v>1073</v>
      </c>
      <c r="C396" s="111">
        <v>21448</v>
      </c>
      <c r="D396" s="122" t="s">
        <v>585</v>
      </c>
      <c r="E396" s="115">
        <v>22467.94</v>
      </c>
      <c r="F396" s="115">
        <v>2253.98</v>
      </c>
      <c r="G396" s="115">
        <v>0</v>
      </c>
      <c r="H396" s="115">
        <v>10896.14</v>
      </c>
      <c r="I396" s="115"/>
      <c r="J396" s="115"/>
      <c r="K396" s="114"/>
      <c r="L396" s="115"/>
      <c r="M396" s="115"/>
      <c r="N396" s="115"/>
      <c r="O396" s="115"/>
      <c r="P396" s="115"/>
      <c r="Q396" s="115">
        <f t="shared" si="6"/>
        <v>35618.06</v>
      </c>
      <c r="R396" s="108"/>
    </row>
    <row r="397" spans="1:18" ht="12.75">
      <c r="A397" s="120">
        <v>391</v>
      </c>
      <c r="B397" s="111" t="s">
        <v>1074</v>
      </c>
      <c r="C397" s="111">
        <v>21451</v>
      </c>
      <c r="D397" s="122">
        <v>4</v>
      </c>
      <c r="E397" s="113">
        <f>ROUND(0.04*521.42,0)*3.53*4</f>
        <v>296.52</v>
      </c>
      <c r="F397" s="114">
        <f>ROUND(0.04*409.08,0)*3.53*4</f>
        <v>225.92</v>
      </c>
      <c r="G397" s="114">
        <f>ROUND(0.04*366.33,0)*3.53*4</f>
        <v>211.79999999999998</v>
      </c>
      <c r="H397" s="114">
        <f>ROUND(0.04*254.17,0)*3.53*4</f>
        <v>141.2</v>
      </c>
      <c r="I397" s="115"/>
      <c r="J397" s="115"/>
      <c r="K397" s="114"/>
      <c r="L397" s="114"/>
      <c r="M397" s="114"/>
      <c r="N397" s="114"/>
      <c r="O397" s="114"/>
      <c r="P397" s="114"/>
      <c r="Q397" s="115">
        <f t="shared" si="6"/>
        <v>875.4399999999998</v>
      </c>
      <c r="R397" s="108"/>
    </row>
    <row r="398" spans="1:18" ht="12.75">
      <c r="A398" s="116">
        <v>392</v>
      </c>
      <c r="B398" s="111" t="s">
        <v>1075</v>
      </c>
      <c r="C398" s="111">
        <v>21449</v>
      </c>
      <c r="D398" s="122">
        <v>2</v>
      </c>
      <c r="E398" s="113">
        <f>ROUND(0.04*521.42,0)*3.53*2</f>
        <v>148.26</v>
      </c>
      <c r="F398" s="114">
        <f>ROUND(0.04*409.08,0)*3.53*2</f>
        <v>112.96</v>
      </c>
      <c r="G398" s="114">
        <f>ROUND(0.04*366.33,0)*3.53*2</f>
        <v>105.89999999999999</v>
      </c>
      <c r="H398" s="114">
        <f>ROUND(0.04*254.17,0)*3.53*2</f>
        <v>70.6</v>
      </c>
      <c r="I398" s="114"/>
      <c r="J398" s="115"/>
      <c r="K398" s="114"/>
      <c r="L398" s="114"/>
      <c r="M398" s="114"/>
      <c r="N398" s="114"/>
      <c r="O398" s="114"/>
      <c r="P398" s="114"/>
      <c r="Q398" s="115">
        <f aca="true" t="shared" si="7" ref="Q398:Q430">E398+F398+G398+H398+I398+J398+K398+L398+M398+N398+O398+P398</f>
        <v>437.7199999999999</v>
      </c>
      <c r="R398" s="108"/>
    </row>
    <row r="399" spans="1:18" ht="12.75">
      <c r="A399" s="120">
        <v>393</v>
      </c>
      <c r="B399" s="111" t="s">
        <v>431</v>
      </c>
      <c r="C399" s="111">
        <v>21463</v>
      </c>
      <c r="D399" s="122">
        <v>35</v>
      </c>
      <c r="E399" s="115">
        <v>1176.45</v>
      </c>
      <c r="F399" s="115">
        <v>394.55</v>
      </c>
      <c r="G399" s="115">
        <v>750.15</v>
      </c>
      <c r="H399" s="115">
        <v>672.78</v>
      </c>
      <c r="I399" s="115"/>
      <c r="J399" s="115"/>
      <c r="K399" s="157"/>
      <c r="L399" s="115"/>
      <c r="M399" s="115"/>
      <c r="N399" s="115"/>
      <c r="O399" s="115"/>
      <c r="P399" s="115"/>
      <c r="Q399" s="115">
        <f t="shared" si="7"/>
        <v>2993.9300000000003</v>
      </c>
      <c r="R399" s="108"/>
    </row>
    <row r="400" spans="1:18" ht="12.75">
      <c r="A400" s="116">
        <v>394</v>
      </c>
      <c r="B400" s="111" t="s">
        <v>1076</v>
      </c>
      <c r="C400" s="146">
        <v>10017</v>
      </c>
      <c r="D400" s="122" t="s">
        <v>585</v>
      </c>
      <c r="E400" s="115">
        <v>7658.38</v>
      </c>
      <c r="F400" s="115">
        <v>7639.9</v>
      </c>
      <c r="G400" s="115">
        <v>6997.03</v>
      </c>
      <c r="H400" s="115">
        <v>7033.16</v>
      </c>
      <c r="I400" s="115"/>
      <c r="J400" s="115"/>
      <c r="K400" s="114"/>
      <c r="L400" s="115"/>
      <c r="M400" s="115"/>
      <c r="N400" s="115"/>
      <c r="O400" s="115"/>
      <c r="P400" s="115"/>
      <c r="Q400" s="115">
        <f t="shared" si="7"/>
        <v>29328.469999999998</v>
      </c>
      <c r="R400" s="108"/>
    </row>
    <row r="401" spans="1:18" ht="12.75">
      <c r="A401" s="120">
        <v>395</v>
      </c>
      <c r="B401" s="111" t="s">
        <v>1077</v>
      </c>
      <c r="C401" s="111">
        <v>21457</v>
      </c>
      <c r="D401" s="122">
        <v>1</v>
      </c>
      <c r="E401" s="113">
        <f>ROUND(0.04*521.42,0)*3.53</f>
        <v>74.13</v>
      </c>
      <c r="F401" s="114">
        <f>ROUND(0.04*409.08,0)*3.53</f>
        <v>56.48</v>
      </c>
      <c r="G401" s="114">
        <f>ROUND(0.04*366.33,0)*3.53</f>
        <v>52.949999999999996</v>
      </c>
      <c r="H401" s="114">
        <f>ROUND(0.04*254.17,0)*3.53</f>
        <v>35.3</v>
      </c>
      <c r="I401" s="114">
        <f aca="true" t="shared" si="8" ref="I401:P401">ROUND(0.04*521.42,0)*3.53</f>
        <v>74.13</v>
      </c>
      <c r="J401" s="114">
        <f t="shared" si="8"/>
        <v>74.13</v>
      </c>
      <c r="K401" s="114">
        <f t="shared" si="8"/>
        <v>74.13</v>
      </c>
      <c r="L401" s="114">
        <f t="shared" si="8"/>
        <v>74.13</v>
      </c>
      <c r="M401" s="114">
        <f t="shared" si="8"/>
        <v>74.13</v>
      </c>
      <c r="N401" s="114">
        <f t="shared" si="8"/>
        <v>74.13</v>
      </c>
      <c r="O401" s="114">
        <f t="shared" si="8"/>
        <v>74.13</v>
      </c>
      <c r="P401" s="114">
        <f t="shared" si="8"/>
        <v>74.13</v>
      </c>
      <c r="Q401" s="115">
        <f t="shared" si="7"/>
        <v>811.8999999999999</v>
      </c>
      <c r="R401" s="108"/>
    </row>
    <row r="402" spans="1:18" ht="12" customHeight="1">
      <c r="A402" s="116">
        <v>396</v>
      </c>
      <c r="B402" s="111" t="s">
        <v>1078</v>
      </c>
      <c r="C402" s="117">
        <v>21460</v>
      </c>
      <c r="D402" s="128">
        <v>2</v>
      </c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>
        <f t="shared" si="7"/>
        <v>0</v>
      </c>
      <c r="R402" s="108" t="s">
        <v>1079</v>
      </c>
    </row>
    <row r="403" spans="1:18" ht="12.75">
      <c r="A403" s="120">
        <v>397</v>
      </c>
      <c r="B403" s="111" t="s">
        <v>1080</v>
      </c>
      <c r="C403" s="111">
        <v>21688</v>
      </c>
      <c r="D403" s="122">
        <v>1</v>
      </c>
      <c r="E403" s="113">
        <f>ROUND(0.04*521.42,0)*3.53</f>
        <v>74.13</v>
      </c>
      <c r="F403" s="114">
        <f>ROUND(0.04*409.08,0)*3.53</f>
        <v>56.48</v>
      </c>
      <c r="G403" s="114">
        <f>ROUND(0.04*366.33,0)*3.53</f>
        <v>52.949999999999996</v>
      </c>
      <c r="H403" s="114">
        <f>ROUND(0.04*254.17,0)*3.53</f>
        <v>35.3</v>
      </c>
      <c r="I403" s="114">
        <f aca="true" t="shared" si="9" ref="I403:P403">ROUND(0.04*521.42,0)*3.53</f>
        <v>74.13</v>
      </c>
      <c r="J403" s="114">
        <f t="shared" si="9"/>
        <v>74.13</v>
      </c>
      <c r="K403" s="114">
        <f t="shared" si="9"/>
        <v>74.13</v>
      </c>
      <c r="L403" s="114">
        <f t="shared" si="9"/>
        <v>74.13</v>
      </c>
      <c r="M403" s="114">
        <f t="shared" si="9"/>
        <v>74.13</v>
      </c>
      <c r="N403" s="114">
        <f t="shared" si="9"/>
        <v>74.13</v>
      </c>
      <c r="O403" s="114">
        <f t="shared" si="9"/>
        <v>74.13</v>
      </c>
      <c r="P403" s="114">
        <f t="shared" si="9"/>
        <v>74.13</v>
      </c>
      <c r="Q403" s="115">
        <f t="shared" si="7"/>
        <v>811.8999999999999</v>
      </c>
      <c r="R403" s="108"/>
    </row>
    <row r="404" spans="1:18" ht="12.75">
      <c r="A404" s="116">
        <v>398</v>
      </c>
      <c r="B404" s="111" t="s">
        <v>1081</v>
      </c>
      <c r="C404" s="111">
        <v>21690</v>
      </c>
      <c r="D404" s="122">
        <v>2</v>
      </c>
      <c r="E404" s="113">
        <f>ROUND(0.04*521.42,0)*3.53*2</f>
        <v>148.26</v>
      </c>
      <c r="F404" s="114">
        <f>ROUND(0.04*409.08,0)*3.53*2</f>
        <v>112.96</v>
      </c>
      <c r="G404" s="114">
        <f>ROUND(0.04*366.33,0)*3.53*2</f>
        <v>105.89999999999999</v>
      </c>
      <c r="H404" s="114">
        <f>ROUND(0.04*254.17,0)*3.53*2</f>
        <v>70.6</v>
      </c>
      <c r="I404" s="114">
        <f aca="true" t="shared" si="10" ref="I404:P405">ROUND(0.04*521.42,0)*3.53*2</f>
        <v>148.26</v>
      </c>
      <c r="J404" s="114">
        <f t="shared" si="10"/>
        <v>148.26</v>
      </c>
      <c r="K404" s="114">
        <f t="shared" si="10"/>
        <v>148.26</v>
      </c>
      <c r="L404" s="114">
        <f t="shared" si="10"/>
        <v>148.26</v>
      </c>
      <c r="M404" s="114">
        <f t="shared" si="10"/>
        <v>148.26</v>
      </c>
      <c r="N404" s="114">
        <f t="shared" si="10"/>
        <v>148.26</v>
      </c>
      <c r="O404" s="114">
        <f t="shared" si="10"/>
        <v>148.26</v>
      </c>
      <c r="P404" s="114">
        <f t="shared" si="10"/>
        <v>148.26</v>
      </c>
      <c r="Q404" s="115">
        <f t="shared" si="7"/>
        <v>1623.7999999999997</v>
      </c>
      <c r="R404" s="108"/>
    </row>
    <row r="405" spans="1:18" ht="12.75">
      <c r="A405" s="120">
        <v>399</v>
      </c>
      <c r="B405" s="111" t="s">
        <v>1082</v>
      </c>
      <c r="C405" s="111">
        <v>21696</v>
      </c>
      <c r="D405" s="122">
        <v>2</v>
      </c>
      <c r="E405" s="113">
        <f>ROUND(0.04*521.42,0)*3.53*2</f>
        <v>148.26</v>
      </c>
      <c r="F405" s="114">
        <f>ROUND(0.04*409.08,0)*3.53*2</f>
        <v>112.96</v>
      </c>
      <c r="G405" s="114">
        <f>ROUND(0.04*366.33,0)*3.53*2</f>
        <v>105.89999999999999</v>
      </c>
      <c r="H405" s="114">
        <f>ROUND(0.04*254.17,0)*3.53*2</f>
        <v>70.6</v>
      </c>
      <c r="I405" s="114">
        <f t="shared" si="10"/>
        <v>148.26</v>
      </c>
      <c r="J405" s="114">
        <f t="shared" si="10"/>
        <v>148.26</v>
      </c>
      <c r="K405" s="114">
        <f t="shared" si="10"/>
        <v>148.26</v>
      </c>
      <c r="L405" s="114">
        <f t="shared" si="10"/>
        <v>148.26</v>
      </c>
      <c r="M405" s="114">
        <f t="shared" si="10"/>
        <v>148.26</v>
      </c>
      <c r="N405" s="114">
        <f t="shared" si="10"/>
        <v>148.26</v>
      </c>
      <c r="O405" s="114">
        <f t="shared" si="10"/>
        <v>148.26</v>
      </c>
      <c r="P405" s="114">
        <f t="shared" si="10"/>
        <v>148.26</v>
      </c>
      <c r="Q405" s="115">
        <f t="shared" si="7"/>
        <v>1623.7999999999997</v>
      </c>
      <c r="R405" s="108"/>
    </row>
    <row r="406" spans="1:18" ht="12.75">
      <c r="A406" s="116">
        <v>400</v>
      </c>
      <c r="B406" s="111" t="s">
        <v>1083</v>
      </c>
      <c r="C406" s="111">
        <v>21698</v>
      </c>
      <c r="D406" s="122">
        <v>1</v>
      </c>
      <c r="E406" s="113">
        <f>ROUND(0.04*521.42,0)*3.53</f>
        <v>74.13</v>
      </c>
      <c r="F406" s="114">
        <f>ROUND(0.04*409.08,0)*3.53</f>
        <v>56.48</v>
      </c>
      <c r="G406" s="114">
        <f>ROUND(0.04*366.33,0)*3.53</f>
        <v>52.949999999999996</v>
      </c>
      <c r="H406" s="114">
        <f>ROUND(0.04*254.17,0)*3.53</f>
        <v>35.3</v>
      </c>
      <c r="I406" s="114">
        <f aca="true" t="shared" si="11" ref="I406:P406">ROUND(0.04*521.42,0)*3.53</f>
        <v>74.13</v>
      </c>
      <c r="J406" s="114">
        <f t="shared" si="11"/>
        <v>74.13</v>
      </c>
      <c r="K406" s="114">
        <f t="shared" si="11"/>
        <v>74.13</v>
      </c>
      <c r="L406" s="114">
        <f t="shared" si="11"/>
        <v>74.13</v>
      </c>
      <c r="M406" s="114">
        <f t="shared" si="11"/>
        <v>74.13</v>
      </c>
      <c r="N406" s="114">
        <f t="shared" si="11"/>
        <v>74.13</v>
      </c>
      <c r="O406" s="114">
        <f t="shared" si="11"/>
        <v>74.13</v>
      </c>
      <c r="P406" s="114">
        <f t="shared" si="11"/>
        <v>74.13</v>
      </c>
      <c r="Q406" s="115">
        <f t="shared" si="7"/>
        <v>811.8999999999999</v>
      </c>
      <c r="R406" s="108"/>
    </row>
    <row r="407" spans="1:18" ht="12.75">
      <c r="A407" s="120">
        <v>401</v>
      </c>
      <c r="B407" s="111" t="s">
        <v>726</v>
      </c>
      <c r="C407" s="146"/>
      <c r="D407" s="122"/>
      <c r="E407" s="114">
        <v>8549.79</v>
      </c>
      <c r="F407" s="115">
        <v>8817.7</v>
      </c>
      <c r="G407" s="115">
        <v>6136.23</v>
      </c>
      <c r="H407" s="115">
        <v>6539.49</v>
      </c>
      <c r="I407" s="115"/>
      <c r="J407" s="115"/>
      <c r="K407" s="114"/>
      <c r="L407" s="114"/>
      <c r="M407" s="114"/>
      <c r="N407" s="114"/>
      <c r="O407" s="114"/>
      <c r="P407" s="114"/>
      <c r="Q407" s="115">
        <f t="shared" si="7"/>
        <v>30043.21</v>
      </c>
      <c r="R407" s="108"/>
    </row>
    <row r="408" spans="1:18" ht="12.75">
      <c r="A408" s="116">
        <v>402</v>
      </c>
      <c r="B408" s="111" t="s">
        <v>1084</v>
      </c>
      <c r="C408" s="111">
        <v>23704</v>
      </c>
      <c r="D408" s="122" t="s">
        <v>584</v>
      </c>
      <c r="E408" s="136"/>
      <c r="F408" s="115"/>
      <c r="G408" s="115"/>
      <c r="H408" s="115"/>
      <c r="I408" s="115"/>
      <c r="J408" s="115"/>
      <c r="K408" s="114"/>
      <c r="L408" s="115"/>
      <c r="M408" s="136"/>
      <c r="N408" s="136"/>
      <c r="O408" s="136"/>
      <c r="P408" s="136"/>
      <c r="Q408" s="115">
        <f t="shared" si="7"/>
        <v>0</v>
      </c>
      <c r="R408" s="108"/>
    </row>
    <row r="409" spans="1:18" ht="12.75">
      <c r="A409" s="120">
        <v>403</v>
      </c>
      <c r="B409" s="111" t="s">
        <v>689</v>
      </c>
      <c r="C409" s="121">
        <v>12290</v>
      </c>
      <c r="D409" s="122" t="s">
        <v>717</v>
      </c>
      <c r="E409" s="160" t="s">
        <v>935</v>
      </c>
      <c r="F409" s="115"/>
      <c r="G409" s="115"/>
      <c r="H409" s="115"/>
      <c r="I409" s="115"/>
      <c r="J409" s="115"/>
      <c r="K409" s="114"/>
      <c r="L409" s="115"/>
      <c r="M409" s="115"/>
      <c r="N409" s="115"/>
      <c r="O409" s="115"/>
      <c r="P409" s="127"/>
      <c r="Q409" s="115" t="e">
        <f t="shared" si="7"/>
        <v>#VALUE!</v>
      </c>
      <c r="R409" s="108" t="s">
        <v>716</v>
      </c>
    </row>
    <row r="410" spans="1:18" ht="12.75">
      <c r="A410" s="116">
        <v>404</v>
      </c>
      <c r="B410" s="111" t="s">
        <v>609</v>
      </c>
      <c r="C410" s="117">
        <v>12288</v>
      </c>
      <c r="D410" s="12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>
        <f t="shared" si="7"/>
        <v>0</v>
      </c>
      <c r="R410" s="108" t="s">
        <v>1085</v>
      </c>
    </row>
    <row r="411" spans="1:18" ht="12.75">
      <c r="A411" s="120">
        <v>405</v>
      </c>
      <c r="B411" s="111" t="s">
        <v>1086</v>
      </c>
      <c r="C411" s="111">
        <v>12289</v>
      </c>
      <c r="D411" s="122" t="s">
        <v>584</v>
      </c>
      <c r="E411" s="136"/>
      <c r="F411" s="115"/>
      <c r="G411" s="156">
        <f>ROUND(0.04*366.33,0)*3.53*3</f>
        <v>158.85</v>
      </c>
      <c r="H411" s="156">
        <f>ROUND(0.04*254.17,0)*3.53*3</f>
        <v>105.89999999999999</v>
      </c>
      <c r="I411" s="115"/>
      <c r="J411" s="115"/>
      <c r="K411" s="114"/>
      <c r="L411" s="115"/>
      <c r="M411" s="136"/>
      <c r="N411" s="136"/>
      <c r="O411" s="136"/>
      <c r="P411" s="136"/>
      <c r="Q411" s="115">
        <f t="shared" si="7"/>
        <v>264.75</v>
      </c>
      <c r="R411" s="108"/>
    </row>
    <row r="412" spans="1:17" ht="12.75">
      <c r="A412" s="116">
        <v>406</v>
      </c>
      <c r="B412" s="111" t="s">
        <v>1087</v>
      </c>
      <c r="Q412" s="115">
        <f t="shared" si="7"/>
        <v>0</v>
      </c>
    </row>
    <row r="413" spans="1:18" ht="12.75">
      <c r="A413" s="120">
        <v>407</v>
      </c>
      <c r="B413" s="111" t="s">
        <v>1088</v>
      </c>
      <c r="C413" s="111">
        <v>12295</v>
      </c>
      <c r="D413" s="122">
        <v>16</v>
      </c>
      <c r="E413" s="113">
        <f>ROUND(0.04*521.42,0)*3.53*16</f>
        <v>1186.08</v>
      </c>
      <c r="F413" s="114">
        <f>ROUND(0.04*409.08,0)*3.53*16</f>
        <v>903.68</v>
      </c>
      <c r="G413" s="114">
        <f>ROUND(0.04*366.33,0)*3.53*16</f>
        <v>847.1999999999999</v>
      </c>
      <c r="H413" s="114">
        <f>ROUND(0.04*254.17,0)*3.53*16</f>
        <v>564.8</v>
      </c>
      <c r="I413" s="115"/>
      <c r="J413" s="115"/>
      <c r="K413" s="114"/>
      <c r="L413" s="114"/>
      <c r="M413" s="114"/>
      <c r="N413" s="114"/>
      <c r="O413" s="114"/>
      <c r="P413" s="114"/>
      <c r="Q413" s="115">
        <f t="shared" si="7"/>
        <v>3501.7599999999993</v>
      </c>
      <c r="R413" s="108"/>
    </row>
    <row r="414" spans="1:18" ht="12.75">
      <c r="A414" s="116">
        <v>408</v>
      </c>
      <c r="B414" s="111" t="s">
        <v>1089</v>
      </c>
      <c r="C414" s="111">
        <v>11262</v>
      </c>
      <c r="D414" s="126" t="s">
        <v>583</v>
      </c>
      <c r="E414" s="115">
        <v>34383.6</v>
      </c>
      <c r="F414" s="115">
        <v>34203.6</v>
      </c>
      <c r="G414" s="115">
        <v>29509.2</v>
      </c>
      <c r="H414" s="115">
        <v>29840.4</v>
      </c>
      <c r="I414" s="115"/>
      <c r="J414" s="115"/>
      <c r="K414" s="114"/>
      <c r="L414" s="115"/>
      <c r="M414" s="115"/>
      <c r="N414" s="115"/>
      <c r="O414" s="115"/>
      <c r="P414" s="115"/>
      <c r="Q414" s="115">
        <f t="shared" si="7"/>
        <v>127936.79999999999</v>
      </c>
      <c r="R414" s="108"/>
    </row>
    <row r="415" spans="1:18" ht="12.75">
      <c r="A415" s="120">
        <v>409</v>
      </c>
      <c r="B415" s="111" t="s">
        <v>1090</v>
      </c>
      <c r="C415" s="111">
        <v>11261</v>
      </c>
      <c r="D415" s="129" t="s">
        <v>588</v>
      </c>
      <c r="E415" s="115">
        <v>7683.93</v>
      </c>
      <c r="F415" s="115">
        <v>7094.34</v>
      </c>
      <c r="G415" s="115">
        <v>6143.07</v>
      </c>
      <c r="H415" s="115">
        <v>6103.05</v>
      </c>
      <c r="I415" s="115"/>
      <c r="J415" s="115"/>
      <c r="K415" s="114"/>
      <c r="L415" s="115"/>
      <c r="M415" s="115"/>
      <c r="N415" s="115"/>
      <c r="O415" s="115"/>
      <c r="P415" s="115"/>
      <c r="Q415" s="115">
        <f t="shared" si="7"/>
        <v>27024.39</v>
      </c>
      <c r="R415" s="108"/>
    </row>
    <row r="416" spans="1:18" ht="12.75">
      <c r="A416" s="116">
        <v>410</v>
      </c>
      <c r="B416" s="111" t="s">
        <v>1091</v>
      </c>
      <c r="C416" s="111">
        <v>11267</v>
      </c>
      <c r="D416" s="129" t="s">
        <v>588</v>
      </c>
      <c r="E416" s="115">
        <v>2100.06</v>
      </c>
      <c r="F416" s="115">
        <v>2169.06</v>
      </c>
      <c r="G416" s="115">
        <v>3645.0600000000004</v>
      </c>
      <c r="H416" s="115">
        <v>2132.16</v>
      </c>
      <c r="I416" s="115"/>
      <c r="J416" s="115"/>
      <c r="K416" s="114"/>
      <c r="L416" s="115"/>
      <c r="M416" s="115"/>
      <c r="N416" s="115"/>
      <c r="O416" s="115"/>
      <c r="P416" s="115"/>
      <c r="Q416" s="115">
        <f t="shared" si="7"/>
        <v>10046.34</v>
      </c>
      <c r="R416" s="108"/>
    </row>
    <row r="417" spans="1:18" ht="12.75">
      <c r="A417" s="120">
        <v>411</v>
      </c>
      <c r="B417" s="111" t="s">
        <v>1092</v>
      </c>
      <c r="C417" s="117">
        <v>19755</v>
      </c>
      <c r="D417" s="129" t="s">
        <v>588</v>
      </c>
      <c r="E417" s="115">
        <v>15005.76</v>
      </c>
      <c r="F417" s="115">
        <f>8952.08+6266.77</f>
        <v>15218.85</v>
      </c>
      <c r="G417" s="115">
        <v>12982.35</v>
      </c>
      <c r="H417" s="115">
        <f>8687.71+2428.01</f>
        <v>11115.72</v>
      </c>
      <c r="I417" s="115"/>
      <c r="J417" s="115"/>
      <c r="K417" s="114"/>
      <c r="L417" s="115"/>
      <c r="M417" s="115"/>
      <c r="N417" s="115"/>
      <c r="O417" s="115"/>
      <c r="P417" s="115"/>
      <c r="Q417" s="115">
        <f t="shared" si="7"/>
        <v>54322.68</v>
      </c>
      <c r="R417" s="108"/>
    </row>
    <row r="418" spans="1:18" ht="12.75">
      <c r="A418" s="116">
        <v>412</v>
      </c>
      <c r="B418" s="111" t="s">
        <v>1093</v>
      </c>
      <c r="C418" s="111">
        <v>12672</v>
      </c>
      <c r="D418" s="122" t="s">
        <v>585</v>
      </c>
      <c r="E418" s="115">
        <v>5870.31</v>
      </c>
      <c r="F418" s="115">
        <v>15340.71</v>
      </c>
      <c r="G418" s="115">
        <v>5379.7699999999995</v>
      </c>
      <c r="H418" s="115">
        <v>2077.35</v>
      </c>
      <c r="I418" s="115"/>
      <c r="J418" s="115"/>
      <c r="K418" s="114"/>
      <c r="L418" s="115"/>
      <c r="M418" s="115"/>
      <c r="N418" s="115"/>
      <c r="O418" s="115"/>
      <c r="P418" s="115"/>
      <c r="Q418" s="115">
        <f t="shared" si="7"/>
        <v>28668.14</v>
      </c>
      <c r="R418" s="108"/>
    </row>
    <row r="419" spans="1:18" ht="12.75">
      <c r="A419" s="120">
        <v>413</v>
      </c>
      <c r="B419" s="111" t="s">
        <v>1094</v>
      </c>
      <c r="C419" s="111">
        <v>12671</v>
      </c>
      <c r="D419" s="129" t="s">
        <v>588</v>
      </c>
      <c r="E419" s="115">
        <v>4355.01</v>
      </c>
      <c r="F419" s="161">
        <v>4381.02</v>
      </c>
      <c r="G419" s="161">
        <v>2860.2000000000003</v>
      </c>
      <c r="H419" s="161">
        <v>5886.09</v>
      </c>
      <c r="I419" s="115"/>
      <c r="J419" s="115"/>
      <c r="K419" s="114"/>
      <c r="L419" s="115"/>
      <c r="M419" s="115"/>
      <c r="N419" s="115"/>
      <c r="O419" s="115"/>
      <c r="P419" s="115"/>
      <c r="Q419" s="115">
        <f t="shared" si="7"/>
        <v>17482.32</v>
      </c>
      <c r="R419" s="108"/>
    </row>
    <row r="420" spans="1:18" ht="12.75">
      <c r="A420" s="116">
        <v>414</v>
      </c>
      <c r="B420" s="111" t="s">
        <v>1095</v>
      </c>
      <c r="C420" s="111">
        <v>11271</v>
      </c>
      <c r="D420" s="129" t="s">
        <v>588</v>
      </c>
      <c r="E420" s="115">
        <v>3378.01</v>
      </c>
      <c r="F420" s="115">
        <v>3459.63</v>
      </c>
      <c r="G420" s="115">
        <v>3170.85</v>
      </c>
      <c r="H420" s="115">
        <v>2657.94</v>
      </c>
      <c r="I420" s="115"/>
      <c r="J420" s="115"/>
      <c r="K420" s="114"/>
      <c r="L420" s="115"/>
      <c r="M420" s="115"/>
      <c r="N420" s="115"/>
      <c r="O420" s="115"/>
      <c r="P420" s="115"/>
      <c r="Q420" s="115">
        <f t="shared" si="7"/>
        <v>12666.43</v>
      </c>
      <c r="R420" s="108"/>
    </row>
    <row r="421" spans="1:18" ht="12.75">
      <c r="A421" s="120">
        <v>415</v>
      </c>
      <c r="B421" s="111" t="s">
        <v>1096</v>
      </c>
      <c r="C421" s="111">
        <v>11281</v>
      </c>
      <c r="D421" s="129" t="s">
        <v>588</v>
      </c>
      <c r="E421" s="115">
        <v>2826.75</v>
      </c>
      <c r="F421" s="115">
        <v>2739.75</v>
      </c>
      <c r="G421" s="115">
        <v>2152.26</v>
      </c>
      <c r="H421" s="115">
        <v>2196.78</v>
      </c>
      <c r="I421" s="115"/>
      <c r="J421" s="115"/>
      <c r="K421" s="114"/>
      <c r="L421" s="115"/>
      <c r="M421" s="115"/>
      <c r="N421" s="115"/>
      <c r="O421" s="115"/>
      <c r="P421" s="115"/>
      <c r="Q421" s="115">
        <f t="shared" si="7"/>
        <v>9915.54</v>
      </c>
      <c r="R421" s="108"/>
    </row>
    <row r="422" spans="1:18" ht="12.75">
      <c r="A422" s="116">
        <v>416</v>
      </c>
      <c r="B422" s="111" t="s">
        <v>1097</v>
      </c>
      <c r="C422" s="111">
        <v>11282</v>
      </c>
      <c r="D422" s="122" t="s">
        <v>585</v>
      </c>
      <c r="E422" s="115">
        <v>1100.24</v>
      </c>
      <c r="F422" s="115">
        <v>1263.99</v>
      </c>
      <c r="G422" s="115">
        <v>873.0899999999999</v>
      </c>
      <c r="H422" s="115">
        <v>1602.2</v>
      </c>
      <c r="I422" s="115"/>
      <c r="J422" s="115"/>
      <c r="K422" s="114"/>
      <c r="L422" s="115"/>
      <c r="M422" s="115"/>
      <c r="N422" s="115"/>
      <c r="O422" s="115"/>
      <c r="P422" s="115"/>
      <c r="Q422" s="115">
        <f t="shared" si="7"/>
        <v>4839.5199999999995</v>
      </c>
      <c r="R422" s="108"/>
    </row>
    <row r="423" spans="1:18" ht="12.75">
      <c r="A423" s="120">
        <v>417</v>
      </c>
      <c r="B423" s="111" t="s">
        <v>1098</v>
      </c>
      <c r="C423" s="111">
        <v>11283</v>
      </c>
      <c r="D423" s="129" t="s">
        <v>588</v>
      </c>
      <c r="E423" s="115">
        <v>4104.24</v>
      </c>
      <c r="F423" s="115">
        <v>4339.17</v>
      </c>
      <c r="G423" s="115">
        <v>3995.5800000000004</v>
      </c>
      <c r="H423" s="115">
        <v>4409.19</v>
      </c>
      <c r="I423" s="115"/>
      <c r="J423" s="115"/>
      <c r="K423" s="114"/>
      <c r="L423" s="115"/>
      <c r="M423" s="115"/>
      <c r="N423" s="115"/>
      <c r="O423" s="115"/>
      <c r="P423" s="115"/>
      <c r="Q423" s="115">
        <f t="shared" si="7"/>
        <v>16848.18</v>
      </c>
      <c r="R423" s="108"/>
    </row>
    <row r="424" spans="1:18" ht="12.75">
      <c r="A424" s="116">
        <v>418</v>
      </c>
      <c r="B424" s="111" t="s">
        <v>1099</v>
      </c>
      <c r="C424" s="111">
        <v>11284</v>
      </c>
      <c r="D424" s="122" t="s">
        <v>585</v>
      </c>
      <c r="E424" s="115">
        <v>1731.4</v>
      </c>
      <c r="F424" s="115">
        <v>869.89</v>
      </c>
      <c r="G424" s="115">
        <v>742.72</v>
      </c>
      <c r="H424" s="115">
        <v>538.13</v>
      </c>
      <c r="I424" s="115"/>
      <c r="J424" s="115"/>
      <c r="K424" s="114"/>
      <c r="L424" s="115"/>
      <c r="M424" s="115"/>
      <c r="N424" s="115"/>
      <c r="O424" s="115"/>
      <c r="P424" s="115"/>
      <c r="Q424" s="115">
        <f t="shared" si="7"/>
        <v>3882.1400000000003</v>
      </c>
      <c r="R424" s="108"/>
    </row>
    <row r="425" spans="1:18" ht="12.75">
      <c r="A425" s="120">
        <v>419</v>
      </c>
      <c r="B425" s="111" t="s">
        <v>1100</v>
      </c>
      <c r="C425" s="111">
        <v>11286</v>
      </c>
      <c r="D425" s="122" t="s">
        <v>585</v>
      </c>
      <c r="E425" s="115">
        <v>2151.38</v>
      </c>
      <c r="F425" s="115">
        <v>1856.26</v>
      </c>
      <c r="G425" s="115">
        <v>1768.54</v>
      </c>
      <c r="H425" s="115">
        <v>1839.94</v>
      </c>
      <c r="I425" s="115"/>
      <c r="J425" s="115"/>
      <c r="K425" s="114"/>
      <c r="L425" s="115"/>
      <c r="M425" s="115"/>
      <c r="N425" s="115"/>
      <c r="O425" s="115"/>
      <c r="P425" s="115"/>
      <c r="Q425" s="115">
        <f t="shared" si="7"/>
        <v>7616.120000000001</v>
      </c>
      <c r="R425" s="108"/>
    </row>
    <row r="426" spans="1:18" ht="12.75">
      <c r="A426" s="116">
        <v>420</v>
      </c>
      <c r="B426" s="111" t="s">
        <v>1101</v>
      </c>
      <c r="C426" s="111">
        <v>11272</v>
      </c>
      <c r="D426" s="129" t="s">
        <v>588</v>
      </c>
      <c r="E426" s="115">
        <v>1230.12</v>
      </c>
      <c r="F426" s="115">
        <v>1075.2</v>
      </c>
      <c r="G426" s="115">
        <v>944.76</v>
      </c>
      <c r="H426" s="115">
        <v>810.94</v>
      </c>
      <c r="I426" s="115"/>
      <c r="J426" s="115"/>
      <c r="K426" s="114"/>
      <c r="L426" s="115"/>
      <c r="M426" s="115"/>
      <c r="N426" s="115"/>
      <c r="O426" s="115"/>
      <c r="P426" s="115"/>
      <c r="Q426" s="115">
        <f t="shared" si="7"/>
        <v>4061.02</v>
      </c>
      <c r="R426" s="108"/>
    </row>
    <row r="427" spans="1:18" ht="12.75">
      <c r="A427" s="120">
        <v>421</v>
      </c>
      <c r="B427" s="111" t="s">
        <v>1102</v>
      </c>
      <c r="C427" s="111">
        <v>11288</v>
      </c>
      <c r="D427" s="122" t="s">
        <v>585</v>
      </c>
      <c r="E427" s="115">
        <v>1178.84</v>
      </c>
      <c r="F427" s="115">
        <v>1025.66</v>
      </c>
      <c r="G427" s="115">
        <v>630.4300000000001</v>
      </c>
      <c r="H427" s="115">
        <v>554.52</v>
      </c>
      <c r="I427" s="115"/>
      <c r="J427" s="115"/>
      <c r="K427" s="114"/>
      <c r="L427" s="115"/>
      <c r="M427" s="115"/>
      <c r="N427" s="115"/>
      <c r="O427" s="115"/>
      <c r="P427" s="115"/>
      <c r="Q427" s="115">
        <f t="shared" si="7"/>
        <v>3389.4500000000003</v>
      </c>
      <c r="R427" s="108"/>
    </row>
    <row r="428" spans="1:18" ht="12.75">
      <c r="A428" s="116">
        <v>422</v>
      </c>
      <c r="B428" s="111" t="s">
        <v>1103</v>
      </c>
      <c r="C428" s="111">
        <v>11296</v>
      </c>
      <c r="D428" s="122" t="s">
        <v>585</v>
      </c>
      <c r="E428" s="115">
        <v>1368.07</v>
      </c>
      <c r="F428" s="115">
        <v>1004.94</v>
      </c>
      <c r="G428" s="115">
        <v>783.13</v>
      </c>
      <c r="H428" s="115">
        <v>825.05</v>
      </c>
      <c r="I428" s="115"/>
      <c r="J428" s="115"/>
      <c r="K428" s="114"/>
      <c r="L428" s="115"/>
      <c r="M428" s="115"/>
      <c r="N428" s="115"/>
      <c r="O428" s="115"/>
      <c r="P428" s="115"/>
      <c r="Q428" s="115">
        <f t="shared" si="7"/>
        <v>3981.1900000000005</v>
      </c>
      <c r="R428" s="108"/>
    </row>
    <row r="429" spans="1:18" ht="12.75">
      <c r="A429" s="120">
        <v>423</v>
      </c>
      <c r="B429" s="111" t="s">
        <v>1104</v>
      </c>
      <c r="C429" s="111">
        <v>11298</v>
      </c>
      <c r="D429" s="122" t="s">
        <v>585</v>
      </c>
      <c r="E429" s="115">
        <v>1083.67</v>
      </c>
      <c r="F429" s="115">
        <v>1174.18</v>
      </c>
      <c r="G429" s="115">
        <v>817.3199999999999</v>
      </c>
      <c r="H429" s="115">
        <v>653.09</v>
      </c>
      <c r="I429" s="115"/>
      <c r="J429" s="115"/>
      <c r="K429" s="114"/>
      <c r="L429" s="115"/>
      <c r="M429" s="115"/>
      <c r="N429" s="115"/>
      <c r="O429" s="115"/>
      <c r="P429" s="115"/>
      <c r="Q429" s="115">
        <f t="shared" si="7"/>
        <v>3728.26</v>
      </c>
      <c r="R429" s="108"/>
    </row>
    <row r="430" spans="1:18" ht="12.75">
      <c r="A430" s="116">
        <v>424</v>
      </c>
      <c r="B430" s="111" t="s">
        <v>1105</v>
      </c>
      <c r="C430" s="111">
        <v>11300</v>
      </c>
      <c r="D430" s="122" t="s">
        <v>585</v>
      </c>
      <c r="E430" s="115">
        <v>2013.31</v>
      </c>
      <c r="F430" s="115">
        <v>1695.57</v>
      </c>
      <c r="G430" s="115">
        <v>1119.62</v>
      </c>
      <c r="H430" s="115">
        <v>1170.3</v>
      </c>
      <c r="I430" s="115"/>
      <c r="J430" s="115"/>
      <c r="K430" s="114"/>
      <c r="L430" s="115"/>
      <c r="M430" s="115"/>
      <c r="N430" s="115"/>
      <c r="O430" s="115"/>
      <c r="P430" s="115"/>
      <c r="Q430" s="115">
        <f t="shared" si="7"/>
        <v>5998.8</v>
      </c>
      <c r="R430" s="108"/>
    </row>
    <row r="431" spans="1:18" ht="12.75">
      <c r="A431" s="120">
        <v>425</v>
      </c>
      <c r="B431" s="111" t="s">
        <v>1106</v>
      </c>
      <c r="C431" s="141">
        <v>32302</v>
      </c>
      <c r="D431" s="122" t="s">
        <v>591</v>
      </c>
      <c r="E431" s="162"/>
      <c r="F431" s="114"/>
      <c r="H431" s="114"/>
      <c r="I431" s="115"/>
      <c r="J431" s="115"/>
      <c r="K431" s="114"/>
      <c r="L431" s="115"/>
      <c r="M431" s="115"/>
      <c r="N431" s="115"/>
      <c r="O431" s="115"/>
      <c r="P431" s="115"/>
      <c r="Q431" s="115">
        <f>E432+F431+G432+H431+I431+J431+K431+L431+M431+N431+O431+P431</f>
        <v>4683.75</v>
      </c>
      <c r="R431" s="108"/>
    </row>
    <row r="432" spans="1:18" ht="12.75">
      <c r="A432" s="116">
        <v>426</v>
      </c>
      <c r="B432" s="111" t="s">
        <v>1107</v>
      </c>
      <c r="C432" s="111">
        <v>11301</v>
      </c>
      <c r="D432" s="129" t="s">
        <v>588</v>
      </c>
      <c r="E432" s="115">
        <v>2555.1</v>
      </c>
      <c r="F432" s="115">
        <v>2999.35</v>
      </c>
      <c r="G432" s="114">
        <v>2128.65</v>
      </c>
      <c r="H432" s="115">
        <v>2186.18</v>
      </c>
      <c r="I432" s="115"/>
      <c r="J432" s="115"/>
      <c r="K432" s="114"/>
      <c r="L432" s="115"/>
      <c r="M432" s="115"/>
      <c r="N432" s="115"/>
      <c r="O432" s="115"/>
      <c r="P432" s="115"/>
      <c r="Q432" s="115">
        <f>E433+F432+G433+H432+I432+J432+K432+L432+M432+N432+O432+P432</f>
        <v>7708.949999999999</v>
      </c>
      <c r="R432" s="108"/>
    </row>
    <row r="433" spans="1:18" ht="12.75">
      <c r="A433" s="120">
        <v>427</v>
      </c>
      <c r="B433" s="111" t="s">
        <v>1108</v>
      </c>
      <c r="C433" s="111">
        <v>11302</v>
      </c>
      <c r="D433" s="122" t="s">
        <v>585</v>
      </c>
      <c r="E433" s="115">
        <v>1507.93</v>
      </c>
      <c r="F433" s="115">
        <v>654.35</v>
      </c>
      <c r="G433" s="115">
        <v>1015.49</v>
      </c>
      <c r="H433" s="115">
        <v>858.56</v>
      </c>
      <c r="I433" s="115"/>
      <c r="J433" s="115"/>
      <c r="K433" s="114"/>
      <c r="L433" s="115"/>
      <c r="M433" s="115"/>
      <c r="N433" s="115"/>
      <c r="O433" s="115"/>
      <c r="P433" s="115"/>
      <c r="Q433" s="115">
        <f>E434+F433+G434+H433+I433+J433+K433+L433+M433+N433+O433+P433</f>
        <v>4464.49</v>
      </c>
      <c r="R433" s="108"/>
    </row>
    <row r="434" spans="1:18" ht="12.75">
      <c r="A434" s="116">
        <v>428</v>
      </c>
      <c r="B434" s="111" t="s">
        <v>1109</v>
      </c>
      <c r="C434" s="111">
        <v>11303</v>
      </c>
      <c r="D434" s="122" t="s">
        <v>585</v>
      </c>
      <c r="E434" s="115">
        <v>1854.82</v>
      </c>
      <c r="F434" s="115">
        <v>1218.29</v>
      </c>
      <c r="G434" s="115">
        <v>1096.76</v>
      </c>
      <c r="H434" s="115">
        <v>828.12</v>
      </c>
      <c r="I434" s="115"/>
      <c r="J434" s="115"/>
      <c r="K434" s="114"/>
      <c r="L434" s="115"/>
      <c r="M434" s="115"/>
      <c r="N434" s="115"/>
      <c r="O434" s="115"/>
      <c r="P434" s="115"/>
      <c r="Q434" s="115">
        <f>E435+F434+G435+H434+I434+J434+K434+L434+M434+N434+O434+P434</f>
        <v>2046.4099999999999</v>
      </c>
      <c r="R434" s="108"/>
    </row>
    <row r="435" spans="1:18" ht="12.75">
      <c r="A435" s="120">
        <v>429</v>
      </c>
      <c r="B435" s="111" t="s">
        <v>1110</v>
      </c>
      <c r="C435" s="111">
        <v>11342</v>
      </c>
      <c r="D435" s="122" t="s">
        <v>591</v>
      </c>
      <c r="E435" s="162"/>
      <c r="F435" s="114"/>
      <c r="G435" s="114"/>
      <c r="H435" s="114"/>
      <c r="I435" s="115"/>
      <c r="J435" s="115"/>
      <c r="K435" s="114"/>
      <c r="L435" s="115"/>
      <c r="M435" s="115"/>
      <c r="N435" s="115"/>
      <c r="O435" s="115"/>
      <c r="P435" s="115"/>
      <c r="Q435" s="115">
        <f aca="true" t="shared" si="12" ref="Q435:Q449">E437+F435+G435+H435+I435+J435+K435+L435+M435+N435+O435+P435</f>
        <v>2067.45</v>
      </c>
      <c r="R435" s="108"/>
    </row>
    <row r="436" spans="1:18" ht="12.75">
      <c r="A436" s="116">
        <v>430</v>
      </c>
      <c r="B436" s="111" t="s">
        <v>1111</v>
      </c>
      <c r="C436" s="111">
        <v>11344</v>
      </c>
      <c r="D436" s="122" t="s">
        <v>585</v>
      </c>
      <c r="E436" s="115">
        <v>1675.03</v>
      </c>
      <c r="F436" s="115">
        <v>1547.28</v>
      </c>
      <c r="G436" s="115">
        <v>1116.55</v>
      </c>
      <c r="H436" s="115">
        <v>1087.57</v>
      </c>
      <c r="I436" s="115"/>
      <c r="J436" s="115"/>
      <c r="K436" s="114"/>
      <c r="L436" s="115"/>
      <c r="M436" s="115"/>
      <c r="N436" s="115"/>
      <c r="O436" s="115"/>
      <c r="P436" s="115"/>
      <c r="Q436" s="115">
        <f t="shared" si="12"/>
        <v>5303.19</v>
      </c>
      <c r="R436" s="108"/>
    </row>
    <row r="437" spans="1:18" ht="12.75">
      <c r="A437" s="120">
        <v>431</v>
      </c>
      <c r="B437" s="111" t="s">
        <v>1112</v>
      </c>
      <c r="C437" s="111">
        <v>11346</v>
      </c>
      <c r="D437" s="129" t="s">
        <v>588</v>
      </c>
      <c r="E437" s="115">
        <v>2067.45</v>
      </c>
      <c r="F437" s="115">
        <v>2596.19</v>
      </c>
      <c r="G437" s="115">
        <v>1842.79</v>
      </c>
      <c r="H437" s="115">
        <v>1815.02</v>
      </c>
      <c r="I437" s="115"/>
      <c r="J437" s="115"/>
      <c r="K437" s="114"/>
      <c r="L437" s="115"/>
      <c r="M437" s="115"/>
      <c r="N437" s="115"/>
      <c r="O437" s="115"/>
      <c r="P437" s="115"/>
      <c r="Q437" s="115">
        <f t="shared" si="12"/>
        <v>8327.96</v>
      </c>
      <c r="R437" s="108"/>
    </row>
    <row r="438" spans="1:18" ht="12.75">
      <c r="A438" s="116">
        <v>432</v>
      </c>
      <c r="B438" s="111" t="s">
        <v>1113</v>
      </c>
      <c r="C438" s="111">
        <v>11348</v>
      </c>
      <c r="D438" s="122" t="s">
        <v>585</v>
      </c>
      <c r="E438" s="115">
        <v>1551.79</v>
      </c>
      <c r="F438" s="115">
        <v>1444.66</v>
      </c>
      <c r="G438" s="115">
        <v>1045.98</v>
      </c>
      <c r="H438" s="115">
        <v>980.72</v>
      </c>
      <c r="I438" s="115"/>
      <c r="J438" s="115"/>
      <c r="K438" s="114"/>
      <c r="L438" s="115"/>
      <c r="M438" s="115"/>
      <c r="N438" s="115"/>
      <c r="O438" s="115"/>
      <c r="P438" s="115"/>
      <c r="Q438" s="115">
        <f t="shared" si="12"/>
        <v>5579.840000000001</v>
      </c>
      <c r="R438" s="108"/>
    </row>
    <row r="439" spans="1:18" ht="12.75">
      <c r="A439" s="120">
        <v>433</v>
      </c>
      <c r="B439" s="111" t="s">
        <v>1114</v>
      </c>
      <c r="C439" s="111">
        <v>11350</v>
      </c>
      <c r="D439" s="122" t="s">
        <v>585</v>
      </c>
      <c r="E439" s="115">
        <v>2073.96</v>
      </c>
      <c r="F439" s="115">
        <v>1662.49</v>
      </c>
      <c r="G439" s="115">
        <v>1172.87</v>
      </c>
      <c r="H439" s="115">
        <v>1118.41</v>
      </c>
      <c r="I439" s="115"/>
      <c r="J439" s="115"/>
      <c r="K439" s="114"/>
      <c r="L439" s="115"/>
      <c r="M439" s="115"/>
      <c r="N439" s="115"/>
      <c r="O439" s="115"/>
      <c r="P439" s="115"/>
      <c r="Q439" s="115">
        <f t="shared" si="12"/>
        <v>4512.5</v>
      </c>
      <c r="R439" s="108"/>
    </row>
    <row r="440" spans="1:18" ht="12.75">
      <c r="A440" s="116">
        <v>434</v>
      </c>
      <c r="B440" s="111" t="s">
        <v>1115</v>
      </c>
      <c r="C440" s="111">
        <v>11352</v>
      </c>
      <c r="D440" s="122" t="s">
        <v>585</v>
      </c>
      <c r="E440" s="115">
        <v>2108.48</v>
      </c>
      <c r="F440" s="115">
        <v>2069.48</v>
      </c>
      <c r="G440" s="115">
        <v>1511.58</v>
      </c>
      <c r="H440" s="115">
        <v>1344.73</v>
      </c>
      <c r="I440" s="115"/>
      <c r="J440" s="115"/>
      <c r="K440" s="114"/>
      <c r="L440" s="115"/>
      <c r="M440" s="115"/>
      <c r="N440" s="115"/>
      <c r="O440" s="115"/>
      <c r="P440" s="115"/>
      <c r="Q440" s="115">
        <f t="shared" si="12"/>
        <v>6557.4400000000005</v>
      </c>
      <c r="R440" s="108"/>
    </row>
    <row r="441" spans="1:18" ht="12.75">
      <c r="A441" s="120">
        <v>435</v>
      </c>
      <c r="B441" s="111" t="s">
        <v>1116</v>
      </c>
      <c r="C441" s="111">
        <v>11354</v>
      </c>
      <c r="D441" s="122" t="s">
        <v>585</v>
      </c>
      <c r="E441" s="115">
        <v>558.73</v>
      </c>
      <c r="F441" s="115">
        <v>519.68</v>
      </c>
      <c r="G441" s="115">
        <v>432.96999999999997</v>
      </c>
      <c r="H441" s="115">
        <v>473.58</v>
      </c>
      <c r="I441" s="115"/>
      <c r="J441" s="115"/>
      <c r="K441" s="114"/>
      <c r="L441" s="115"/>
      <c r="M441" s="115"/>
      <c r="N441" s="115"/>
      <c r="O441" s="115"/>
      <c r="P441" s="115"/>
      <c r="Q441" s="115">
        <f t="shared" si="12"/>
        <v>2251.06</v>
      </c>
      <c r="R441" s="108"/>
    </row>
    <row r="442" spans="1:18" ht="12.75">
      <c r="A442" s="116">
        <v>436</v>
      </c>
      <c r="B442" s="111" t="s">
        <v>1117</v>
      </c>
      <c r="C442" s="111">
        <v>11356</v>
      </c>
      <c r="D442" s="122" t="s">
        <v>585</v>
      </c>
      <c r="E442" s="115">
        <v>1631.65</v>
      </c>
      <c r="F442" s="115">
        <v>1536.63</v>
      </c>
      <c r="G442" s="115">
        <v>974.4000000000001</v>
      </c>
      <c r="H442" s="115">
        <v>822.96</v>
      </c>
      <c r="I442" s="115"/>
      <c r="J442" s="115"/>
      <c r="K442" s="114"/>
      <c r="L442" s="115"/>
      <c r="M442" s="115"/>
      <c r="N442" s="115"/>
      <c r="O442" s="115"/>
      <c r="P442" s="115"/>
      <c r="Q442" s="115">
        <f t="shared" si="12"/>
        <v>4761</v>
      </c>
      <c r="R442" s="108"/>
    </row>
    <row r="443" spans="1:18" ht="12.75">
      <c r="A443" s="120">
        <v>437</v>
      </c>
      <c r="B443" s="111" t="s">
        <v>1118</v>
      </c>
      <c r="C443" s="111">
        <v>11358</v>
      </c>
      <c r="D443" s="129" t="s">
        <v>588</v>
      </c>
      <c r="E443" s="115">
        <v>824.83</v>
      </c>
      <c r="F443" s="115">
        <v>933.47</v>
      </c>
      <c r="G443" s="115">
        <v>732.43</v>
      </c>
      <c r="H443" s="115">
        <v>792.78</v>
      </c>
      <c r="I443" s="115"/>
      <c r="J443" s="115"/>
      <c r="K443" s="114"/>
      <c r="L443" s="115"/>
      <c r="M443" s="115"/>
      <c r="N443" s="115"/>
      <c r="O443" s="115"/>
      <c r="P443" s="115"/>
      <c r="Q443" s="115">
        <f t="shared" si="12"/>
        <v>4417.28</v>
      </c>
      <c r="R443" s="108"/>
    </row>
    <row r="444" spans="1:18" ht="12.75">
      <c r="A444" s="116">
        <v>438</v>
      </c>
      <c r="B444" s="111" t="s">
        <v>1119</v>
      </c>
      <c r="C444" s="111">
        <v>11430</v>
      </c>
      <c r="D444" s="122" t="s">
        <v>585</v>
      </c>
      <c r="E444" s="115">
        <v>1427.01</v>
      </c>
      <c r="F444" s="115">
        <v>1239.59</v>
      </c>
      <c r="G444" s="115">
        <v>993.13</v>
      </c>
      <c r="H444" s="115">
        <v>922.03</v>
      </c>
      <c r="I444" s="115"/>
      <c r="J444" s="115"/>
      <c r="K444" s="114"/>
      <c r="L444" s="115"/>
      <c r="M444" s="115"/>
      <c r="N444" s="115"/>
      <c r="O444" s="115"/>
      <c r="P444" s="115"/>
      <c r="Q444" s="115">
        <f t="shared" si="12"/>
        <v>5248.25</v>
      </c>
      <c r="R444" s="108"/>
    </row>
    <row r="445" spans="1:18" ht="12.75">
      <c r="A445" s="120">
        <v>439</v>
      </c>
      <c r="B445" s="111" t="s">
        <v>1120</v>
      </c>
      <c r="C445" s="111">
        <v>11434</v>
      </c>
      <c r="D445" s="122" t="s">
        <v>585</v>
      </c>
      <c r="E445" s="115">
        <v>1958.6</v>
      </c>
      <c r="F445" s="115">
        <v>1898.5</v>
      </c>
      <c r="G445" s="115">
        <v>1597.13</v>
      </c>
      <c r="H445" s="115">
        <v>1178.71</v>
      </c>
      <c r="I445" s="115"/>
      <c r="J445" s="115"/>
      <c r="K445" s="114"/>
      <c r="L445" s="115"/>
      <c r="M445" s="115"/>
      <c r="N445" s="115"/>
      <c r="O445" s="115"/>
      <c r="P445" s="115"/>
      <c r="Q445" s="115">
        <f t="shared" si="12"/>
        <v>6590.19</v>
      </c>
      <c r="R445" s="108"/>
    </row>
    <row r="446" spans="1:18" ht="14.25" customHeight="1">
      <c r="A446" s="116">
        <v>440</v>
      </c>
      <c r="B446" s="111" t="s">
        <v>1121</v>
      </c>
      <c r="C446" s="111">
        <v>11436</v>
      </c>
      <c r="D446" s="122" t="s">
        <v>585</v>
      </c>
      <c r="E446" s="115">
        <v>2093.5</v>
      </c>
      <c r="F446" s="115">
        <v>2017.64</v>
      </c>
      <c r="G446" s="115">
        <v>1314.82</v>
      </c>
      <c r="H446" s="115">
        <v>1286.57</v>
      </c>
      <c r="I446" s="115"/>
      <c r="J446" s="115"/>
      <c r="K446" s="114"/>
      <c r="L446" s="115"/>
      <c r="M446" s="115"/>
      <c r="N446" s="115"/>
      <c r="O446" s="115"/>
      <c r="P446" s="115"/>
      <c r="Q446" s="115">
        <f t="shared" si="12"/>
        <v>7182.589999999999</v>
      </c>
      <c r="R446" s="108"/>
    </row>
    <row r="447" spans="1:18" ht="12.75">
      <c r="A447" s="120">
        <v>441</v>
      </c>
      <c r="B447" s="111" t="s">
        <v>1122</v>
      </c>
      <c r="C447" s="111">
        <v>11438</v>
      </c>
      <c r="D447" s="122" t="s">
        <v>585</v>
      </c>
      <c r="E447" s="115">
        <v>1915.85</v>
      </c>
      <c r="F447" s="115">
        <v>470.66</v>
      </c>
      <c r="G447" s="115">
        <v>1763.15</v>
      </c>
      <c r="H447" s="115">
        <v>1187.22</v>
      </c>
      <c r="I447" s="115"/>
      <c r="J447" s="115"/>
      <c r="K447" s="114"/>
      <c r="L447" s="115"/>
      <c r="M447" s="115"/>
      <c r="N447" s="115"/>
      <c r="O447" s="115"/>
      <c r="P447" s="115"/>
      <c r="Q447" s="115">
        <f t="shared" si="12"/>
        <v>4550.700000000001</v>
      </c>
      <c r="R447" s="108"/>
    </row>
    <row r="448" spans="1:18" ht="12.75">
      <c r="A448" s="116">
        <v>442</v>
      </c>
      <c r="B448" s="111" t="s">
        <v>1123</v>
      </c>
      <c r="C448" s="111">
        <v>11440</v>
      </c>
      <c r="D448" s="129" t="s">
        <v>588</v>
      </c>
      <c r="E448" s="115">
        <v>2563.56</v>
      </c>
      <c r="F448" s="115">
        <v>2598.48</v>
      </c>
      <c r="G448" s="115">
        <v>2115.18</v>
      </c>
      <c r="H448" s="115">
        <v>2194.79</v>
      </c>
      <c r="I448" s="115"/>
      <c r="J448" s="115"/>
      <c r="K448" s="114"/>
      <c r="L448" s="115"/>
      <c r="M448" s="115"/>
      <c r="N448" s="115"/>
      <c r="O448" s="115"/>
      <c r="P448" s="115"/>
      <c r="Q448" s="115">
        <f t="shared" si="12"/>
        <v>7921.22</v>
      </c>
      <c r="R448" s="108"/>
    </row>
    <row r="449" spans="1:18" ht="12.75">
      <c r="A449" s="120">
        <v>443</v>
      </c>
      <c r="B449" s="111" t="s">
        <v>1124</v>
      </c>
      <c r="C449" s="111">
        <v>11442</v>
      </c>
      <c r="D449" s="122" t="s">
        <v>585</v>
      </c>
      <c r="E449" s="115">
        <v>1129.67</v>
      </c>
      <c r="F449" s="115">
        <v>1080.75</v>
      </c>
      <c r="G449" s="115">
        <v>813.52</v>
      </c>
      <c r="H449" s="115">
        <v>753.17</v>
      </c>
      <c r="I449" s="115"/>
      <c r="J449" s="115"/>
      <c r="K449" s="114"/>
      <c r="L449" s="115"/>
      <c r="M449" s="115"/>
      <c r="N449" s="115"/>
      <c r="O449" s="115"/>
      <c r="P449" s="115"/>
      <c r="Q449" s="115">
        <f t="shared" si="12"/>
        <v>4722.13</v>
      </c>
      <c r="R449" s="108"/>
    </row>
    <row r="450" spans="1:18" ht="12.75">
      <c r="A450" s="116">
        <v>444</v>
      </c>
      <c r="B450" s="111" t="s">
        <v>1125</v>
      </c>
      <c r="C450" s="111">
        <v>11444</v>
      </c>
      <c r="D450" s="122" t="s">
        <v>709</v>
      </c>
      <c r="E450" s="115">
        <v>1012.77</v>
      </c>
      <c r="F450" s="115">
        <v>1156.23</v>
      </c>
      <c r="G450" s="115">
        <v>956.4000000000001</v>
      </c>
      <c r="H450" s="115">
        <v>291.04</v>
      </c>
      <c r="I450" s="115"/>
      <c r="J450" s="115"/>
      <c r="K450" s="157"/>
      <c r="L450" s="115"/>
      <c r="M450" s="115"/>
      <c r="N450" s="115"/>
      <c r="O450" s="115"/>
      <c r="P450" s="115"/>
      <c r="Q450" s="115">
        <f aca="true" t="shared" si="13" ref="Q450:Q476">E450+F450+G450+H450+I450+J450+K450+L450+M450+N450+O450+P450</f>
        <v>3416.44</v>
      </c>
      <c r="R450" s="108"/>
    </row>
    <row r="451" spans="1:18" ht="12.75">
      <c r="A451" s="120">
        <v>445</v>
      </c>
      <c r="B451" s="111" t="s">
        <v>1126</v>
      </c>
      <c r="C451" s="111">
        <v>11446</v>
      </c>
      <c r="D451" s="122" t="s">
        <v>585</v>
      </c>
      <c r="E451" s="115">
        <v>2074.69</v>
      </c>
      <c r="F451" s="115">
        <v>1998.35</v>
      </c>
      <c r="G451" s="115">
        <v>1330.15</v>
      </c>
      <c r="H451" s="115">
        <v>1174.73</v>
      </c>
      <c r="I451" s="115"/>
      <c r="J451" s="115"/>
      <c r="K451" s="114"/>
      <c r="L451" s="115"/>
      <c r="M451" s="115"/>
      <c r="N451" s="115"/>
      <c r="O451" s="115"/>
      <c r="P451" s="115"/>
      <c r="Q451" s="115">
        <f t="shared" si="13"/>
        <v>6577.92</v>
      </c>
      <c r="R451" s="108"/>
    </row>
    <row r="452" spans="1:18" ht="12.75">
      <c r="A452" s="116">
        <v>446</v>
      </c>
      <c r="B452" s="111" t="s">
        <v>1127</v>
      </c>
      <c r="C452" s="111">
        <v>11448</v>
      </c>
      <c r="D452" s="122" t="s">
        <v>585</v>
      </c>
      <c r="E452" s="115">
        <v>2454.99</v>
      </c>
      <c r="F452" s="115">
        <v>3051.56</v>
      </c>
      <c r="G452" s="115">
        <v>1792.9299999999998</v>
      </c>
      <c r="H452" s="115">
        <v>1480.48</v>
      </c>
      <c r="I452" s="115"/>
      <c r="J452" s="115"/>
      <c r="K452" s="114"/>
      <c r="L452" s="115"/>
      <c r="M452" s="115"/>
      <c r="N452" s="115"/>
      <c r="O452" s="115"/>
      <c r="P452" s="115"/>
      <c r="Q452" s="115">
        <f t="shared" si="13"/>
        <v>8779.96</v>
      </c>
      <c r="R452" s="108"/>
    </row>
    <row r="453" spans="1:18" ht="12.75">
      <c r="A453" s="120">
        <v>447</v>
      </c>
      <c r="B453" s="111" t="s">
        <v>1128</v>
      </c>
      <c r="C453" s="111">
        <v>11450</v>
      </c>
      <c r="D453" s="129" t="s">
        <v>588</v>
      </c>
      <c r="E453" s="115">
        <v>26369.53</v>
      </c>
      <c r="F453" s="115">
        <v>28201.24</v>
      </c>
      <c r="G453" s="115">
        <v>21333.8</v>
      </c>
      <c r="H453" s="115">
        <v>22818.27</v>
      </c>
      <c r="I453" s="115"/>
      <c r="J453" s="115"/>
      <c r="K453" s="163"/>
      <c r="L453" s="115"/>
      <c r="M453" s="115"/>
      <c r="N453" s="115"/>
      <c r="O453" s="115"/>
      <c r="P453" s="115"/>
      <c r="Q453" s="115">
        <f t="shared" si="13"/>
        <v>98722.84000000001</v>
      </c>
      <c r="R453" s="108"/>
    </row>
    <row r="454" spans="1:18" ht="12.75">
      <c r="A454" s="116">
        <v>448</v>
      </c>
      <c r="B454" s="111" t="s">
        <v>688</v>
      </c>
      <c r="C454" s="117">
        <v>23021</v>
      </c>
      <c r="D454" s="128" t="s">
        <v>717</v>
      </c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>
        <f t="shared" si="13"/>
        <v>0</v>
      </c>
      <c r="R454" s="108" t="s">
        <v>732</v>
      </c>
    </row>
    <row r="455" spans="1:17" ht="12.75">
      <c r="A455" s="120">
        <v>449</v>
      </c>
      <c r="B455" s="111" t="s">
        <v>1129</v>
      </c>
      <c r="D455" s="164" t="s">
        <v>1130</v>
      </c>
      <c r="Q455" s="115">
        <f t="shared" si="13"/>
        <v>0</v>
      </c>
    </row>
    <row r="456" spans="1:18" ht="12.75">
      <c r="A456" s="116">
        <v>450</v>
      </c>
      <c r="B456" s="111" t="s">
        <v>610</v>
      </c>
      <c r="C456" s="117"/>
      <c r="D456" s="12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>
        <f t="shared" si="13"/>
        <v>0</v>
      </c>
      <c r="R456" s="108"/>
    </row>
    <row r="457" spans="1:18" ht="12.75">
      <c r="A457" s="120">
        <v>451</v>
      </c>
      <c r="B457" s="111" t="s">
        <v>690</v>
      </c>
      <c r="C457" s="121">
        <v>23708</v>
      </c>
      <c r="D457" s="122" t="s">
        <v>717</v>
      </c>
      <c r="E457" s="115"/>
      <c r="F457" s="115"/>
      <c r="G457" s="115"/>
      <c r="H457" s="115"/>
      <c r="I457" s="115"/>
      <c r="J457" s="115"/>
      <c r="K457" s="114"/>
      <c r="L457" s="115"/>
      <c r="M457" s="115"/>
      <c r="N457" s="115"/>
      <c r="O457" s="115"/>
      <c r="P457" s="127"/>
      <c r="Q457" s="115">
        <f t="shared" si="13"/>
        <v>0</v>
      </c>
      <c r="R457" s="108" t="s">
        <v>723</v>
      </c>
    </row>
    <row r="458" spans="1:18" ht="12.75">
      <c r="A458" s="116">
        <v>452</v>
      </c>
      <c r="B458" s="111" t="s">
        <v>1131</v>
      </c>
      <c r="C458" s="111">
        <v>23716</v>
      </c>
      <c r="D458" s="122">
        <v>1</v>
      </c>
      <c r="E458" s="113">
        <f>ROUND(0.04*521.42,0)*3.53</f>
        <v>74.13</v>
      </c>
      <c r="F458" s="114">
        <f>ROUND(0.04*409.08,0)*3.53</f>
        <v>56.48</v>
      </c>
      <c r="G458" s="114">
        <f>ROUND(0.04*366.33,0)*3.53</f>
        <v>52.949999999999996</v>
      </c>
      <c r="H458" s="114">
        <f>ROUND(0.04*254.17,0)*3.53</f>
        <v>35.3</v>
      </c>
      <c r="I458" s="115"/>
      <c r="J458" s="115"/>
      <c r="K458" s="114"/>
      <c r="L458" s="114"/>
      <c r="M458" s="114"/>
      <c r="N458" s="114"/>
      <c r="O458" s="114"/>
      <c r="P458" s="114"/>
      <c r="Q458" s="115">
        <f t="shared" si="13"/>
        <v>218.85999999999996</v>
      </c>
      <c r="R458" s="108"/>
    </row>
    <row r="459" spans="1:17" ht="12.75">
      <c r="A459" s="120">
        <v>453</v>
      </c>
      <c r="B459" s="111" t="s">
        <v>1132</v>
      </c>
      <c r="D459" s="164" t="s">
        <v>1133</v>
      </c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15">
        <f t="shared" si="13"/>
        <v>0</v>
      </c>
    </row>
    <row r="460" spans="1:17" ht="12.75">
      <c r="A460" s="116">
        <v>454</v>
      </c>
      <c r="B460" s="111" t="s">
        <v>1134</v>
      </c>
      <c r="D460" s="164" t="s">
        <v>1133</v>
      </c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15">
        <f t="shared" si="13"/>
        <v>0</v>
      </c>
    </row>
    <row r="461" spans="1:17" ht="12.75">
      <c r="A461" s="120">
        <v>455</v>
      </c>
      <c r="B461" s="111" t="s">
        <v>632</v>
      </c>
      <c r="C461" s="111">
        <v>10022</v>
      </c>
      <c r="D461" s="122" t="s">
        <v>583</v>
      </c>
      <c r="E461" s="165">
        <v>11889.11</v>
      </c>
      <c r="F461" s="115">
        <v>11805.95</v>
      </c>
      <c r="G461" s="125">
        <v>11178.77</v>
      </c>
      <c r="H461" s="125">
        <v>10920.66</v>
      </c>
      <c r="I461" s="125"/>
      <c r="J461" s="125"/>
      <c r="K461" s="125"/>
      <c r="L461" s="125"/>
      <c r="M461" s="125"/>
      <c r="N461" s="125"/>
      <c r="O461" s="125"/>
      <c r="P461" s="125"/>
      <c r="Q461" s="115">
        <f t="shared" si="13"/>
        <v>45794.490000000005</v>
      </c>
    </row>
    <row r="462" spans="1:18" ht="12.75">
      <c r="A462" s="116">
        <v>456</v>
      </c>
      <c r="B462" s="111" t="s">
        <v>1135</v>
      </c>
      <c r="C462" s="117">
        <v>21469</v>
      </c>
      <c r="D462" s="128">
        <v>2</v>
      </c>
      <c r="E462" s="113">
        <f>ROUND(0.04*521.42,0)*3.53*2</f>
        <v>148.26</v>
      </c>
      <c r="F462" s="119">
        <f>ROUND(0.04*409.08,0)*3.53*2</f>
        <v>112.96</v>
      </c>
      <c r="G462" s="119">
        <f>ROUND(0.04*366.33,0)*3.53*2</f>
        <v>105.89999999999999</v>
      </c>
      <c r="H462" s="119">
        <f>ROUND(0.04*254.17,0)*3.53*2</f>
        <v>70.6</v>
      </c>
      <c r="I462" s="119"/>
      <c r="J462" s="119"/>
      <c r="K462" s="119"/>
      <c r="L462" s="119"/>
      <c r="M462" s="119"/>
      <c r="N462" s="119"/>
      <c r="O462" s="119"/>
      <c r="P462" s="119"/>
      <c r="Q462" s="119">
        <f t="shared" si="13"/>
        <v>437.7199999999999</v>
      </c>
      <c r="R462" s="108" t="s">
        <v>1136</v>
      </c>
    </row>
    <row r="463" spans="1:17" ht="12.75">
      <c r="A463" s="120">
        <v>457</v>
      </c>
      <c r="B463" s="111" t="s">
        <v>691</v>
      </c>
      <c r="C463" s="111">
        <v>21467</v>
      </c>
      <c r="Q463" s="115">
        <f t="shared" si="13"/>
        <v>0</v>
      </c>
    </row>
    <row r="464" spans="1:17" ht="12.75">
      <c r="A464" s="116">
        <v>458</v>
      </c>
      <c r="B464" s="111" t="s">
        <v>1137</v>
      </c>
      <c r="Q464" s="115">
        <f t="shared" si="13"/>
        <v>0</v>
      </c>
    </row>
    <row r="465" spans="1:18" ht="12.75">
      <c r="A465" s="120">
        <v>459</v>
      </c>
      <c r="B465" s="111" t="s">
        <v>1138</v>
      </c>
      <c r="C465" s="111">
        <v>21481</v>
      </c>
      <c r="D465" s="122">
        <v>2</v>
      </c>
      <c r="E465" s="113">
        <f>ROUND(0.04*521.42,0)*3.53*2</f>
        <v>148.26</v>
      </c>
      <c r="F465" s="114">
        <f>ROUND(0.04*409.08,0)*3.53*2</f>
        <v>112.96</v>
      </c>
      <c r="G465" s="114">
        <f>ROUND(0.04*366.33,0)*3.53*2</f>
        <v>105.89999999999999</v>
      </c>
      <c r="H465" s="151">
        <v>0</v>
      </c>
      <c r="I465" s="151">
        <v>0</v>
      </c>
      <c r="J465" s="151">
        <v>0</v>
      </c>
      <c r="K465" s="151">
        <v>0</v>
      </c>
      <c r="L465" s="151">
        <v>0</v>
      </c>
      <c r="M465" s="151">
        <v>0</v>
      </c>
      <c r="N465" s="151">
        <v>0</v>
      </c>
      <c r="O465" s="151">
        <v>0</v>
      </c>
      <c r="P465" s="151">
        <v>0</v>
      </c>
      <c r="Q465" s="115">
        <f t="shared" si="13"/>
        <v>367.11999999999995</v>
      </c>
      <c r="R465" s="108"/>
    </row>
    <row r="466" spans="1:18" ht="12.75">
      <c r="A466" s="116">
        <v>460</v>
      </c>
      <c r="B466" s="111" t="s">
        <v>1139</v>
      </c>
      <c r="C466" s="111">
        <v>21271</v>
      </c>
      <c r="D466" s="122" t="s">
        <v>585</v>
      </c>
      <c r="E466" s="115">
        <v>184.12</v>
      </c>
      <c r="F466" s="115">
        <v>176.29</v>
      </c>
      <c r="G466" s="115">
        <v>192.78</v>
      </c>
      <c r="H466" s="115">
        <v>117.4</v>
      </c>
      <c r="I466" s="115"/>
      <c r="J466" s="115"/>
      <c r="K466" s="114"/>
      <c r="L466" s="115"/>
      <c r="M466" s="115"/>
      <c r="N466" s="115"/>
      <c r="O466" s="115"/>
      <c r="P466" s="115"/>
      <c r="Q466" s="115">
        <f t="shared" si="13"/>
        <v>670.5899999999999</v>
      </c>
      <c r="R466" s="108"/>
    </row>
    <row r="467" spans="1:17" ht="12.75">
      <c r="A467" s="120">
        <v>461</v>
      </c>
      <c r="B467" s="111" t="s">
        <v>1140</v>
      </c>
      <c r="Q467" s="115">
        <f t="shared" si="13"/>
        <v>0</v>
      </c>
    </row>
    <row r="468" spans="1:18" ht="12.75">
      <c r="A468" s="116">
        <v>462</v>
      </c>
      <c r="B468" s="111" t="s">
        <v>692</v>
      </c>
      <c r="C468" s="121">
        <v>23724</v>
      </c>
      <c r="D468" s="122" t="s">
        <v>717</v>
      </c>
      <c r="E468" s="115"/>
      <c r="F468" s="115"/>
      <c r="G468" s="115"/>
      <c r="H468" s="115"/>
      <c r="I468" s="115"/>
      <c r="J468" s="115"/>
      <c r="K468" s="114"/>
      <c r="L468" s="115"/>
      <c r="M468" s="115"/>
      <c r="N468" s="115"/>
      <c r="O468" s="115"/>
      <c r="P468" s="127"/>
      <c r="Q468" s="115">
        <f t="shared" si="13"/>
        <v>0</v>
      </c>
      <c r="R468" s="108" t="s">
        <v>723</v>
      </c>
    </row>
    <row r="469" spans="1:17" ht="12.75">
      <c r="A469" s="120">
        <v>463</v>
      </c>
      <c r="B469" s="111" t="s">
        <v>1141</v>
      </c>
      <c r="Q469" s="115">
        <f t="shared" si="13"/>
        <v>0</v>
      </c>
    </row>
    <row r="470" spans="1:18" ht="12.75">
      <c r="A470" s="116">
        <v>464</v>
      </c>
      <c r="B470" s="111" t="s">
        <v>1142</v>
      </c>
      <c r="C470" s="117">
        <v>21484</v>
      </c>
      <c r="D470" s="12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>
        <f t="shared" si="13"/>
        <v>0</v>
      </c>
      <c r="R470" s="108" t="s">
        <v>1143</v>
      </c>
    </row>
    <row r="471" spans="1:18" ht="12.75">
      <c r="A471" s="120">
        <v>465</v>
      </c>
      <c r="B471" s="111" t="s">
        <v>1144</v>
      </c>
      <c r="C471" s="111">
        <v>21733</v>
      </c>
      <c r="D471" s="122">
        <v>1</v>
      </c>
      <c r="E471" s="113">
        <f>ROUND(0.04*521.42,0)*3.53</f>
        <v>74.13</v>
      </c>
      <c r="F471" s="114">
        <f>ROUND(0.04*409.08,0)*3.53</f>
        <v>56.48</v>
      </c>
      <c r="G471" s="114">
        <f>ROUND(0.04*366.33,0)*3.53</f>
        <v>52.949999999999996</v>
      </c>
      <c r="H471" s="114">
        <f>ROUND(0.04*254.17,0)*3.53</f>
        <v>35.3</v>
      </c>
      <c r="I471" s="115"/>
      <c r="J471" s="115"/>
      <c r="K471" s="114"/>
      <c r="L471" s="114"/>
      <c r="M471" s="114"/>
      <c r="N471" s="114"/>
      <c r="O471" s="114"/>
      <c r="P471" s="114"/>
      <c r="Q471" s="115">
        <f t="shared" si="13"/>
        <v>218.85999999999996</v>
      </c>
      <c r="R471" s="108"/>
    </row>
    <row r="472" spans="1:17" ht="12.75">
      <c r="A472" s="116">
        <v>466</v>
      </c>
      <c r="B472" s="111" t="s">
        <v>693</v>
      </c>
      <c r="C472" s="111">
        <v>21728</v>
      </c>
      <c r="Q472" s="115">
        <f t="shared" si="13"/>
        <v>0</v>
      </c>
    </row>
    <row r="473" spans="1:18" ht="12.75">
      <c r="A473" s="120">
        <v>467</v>
      </c>
      <c r="B473" s="111" t="s">
        <v>1145</v>
      </c>
      <c r="C473" s="111">
        <v>21729</v>
      </c>
      <c r="D473" s="122">
        <v>2</v>
      </c>
      <c r="E473" s="113">
        <f>ROUND(0.04*521.42,0)*3.53*2</f>
        <v>148.26</v>
      </c>
      <c r="F473" s="114">
        <f>ROUND(0.04*409.08,0)*3.53*2</f>
        <v>112.96</v>
      </c>
      <c r="G473" s="114">
        <f>ROUND(0.04*366.33,0)*3.53*2</f>
        <v>105.89999999999999</v>
      </c>
      <c r="H473" s="114">
        <f>ROUND(0.04*254.17,0)*3.53*2</f>
        <v>70.6</v>
      </c>
      <c r="I473" s="114"/>
      <c r="J473" s="115"/>
      <c r="K473" s="114"/>
      <c r="L473" s="114"/>
      <c r="M473" s="114"/>
      <c r="N473" s="114"/>
      <c r="O473" s="114"/>
      <c r="P473" s="114"/>
      <c r="Q473" s="115">
        <f t="shared" si="13"/>
        <v>437.7199999999999</v>
      </c>
      <c r="R473" s="108"/>
    </row>
    <row r="474" spans="1:17" ht="12.75">
      <c r="A474" s="116">
        <v>468</v>
      </c>
      <c r="B474" s="111" t="s">
        <v>694</v>
      </c>
      <c r="C474" s="111">
        <v>21730</v>
      </c>
      <c r="Q474" s="115">
        <f t="shared" si="13"/>
        <v>0</v>
      </c>
    </row>
    <row r="475" spans="1:18" ht="12.75">
      <c r="A475" s="120">
        <v>469</v>
      </c>
      <c r="B475" s="111" t="s">
        <v>1146</v>
      </c>
      <c r="C475" s="111">
        <v>21487</v>
      </c>
      <c r="D475" s="122">
        <v>0</v>
      </c>
      <c r="E475" s="114"/>
      <c r="F475" s="114"/>
      <c r="G475" s="114"/>
      <c r="H475" s="114"/>
      <c r="I475" s="114"/>
      <c r="J475" s="115"/>
      <c r="K475" s="114"/>
      <c r="L475" s="114"/>
      <c r="M475" s="114"/>
      <c r="N475" s="114"/>
      <c r="O475" s="114"/>
      <c r="P475" s="114"/>
      <c r="Q475" s="115">
        <f t="shared" si="13"/>
        <v>0</v>
      </c>
      <c r="R475" s="108"/>
    </row>
    <row r="476" spans="1:18" ht="12.75">
      <c r="A476" s="116">
        <v>470</v>
      </c>
      <c r="B476" s="111" t="s">
        <v>1147</v>
      </c>
      <c r="C476" s="111">
        <v>12327</v>
      </c>
      <c r="D476" s="122" t="s">
        <v>585</v>
      </c>
      <c r="E476" s="115">
        <v>2704.86</v>
      </c>
      <c r="F476" s="115">
        <v>1938.21</v>
      </c>
      <c r="G476" s="119">
        <v>2686.62</v>
      </c>
      <c r="H476" s="119">
        <v>2996.7</v>
      </c>
      <c r="I476" s="119"/>
      <c r="J476" s="119"/>
      <c r="K476" s="119"/>
      <c r="L476" s="119"/>
      <c r="M476" s="142"/>
      <c r="N476" s="142"/>
      <c r="O476" s="142"/>
      <c r="P476" s="142"/>
      <c r="Q476" s="115">
        <f t="shared" si="13"/>
        <v>10326.39</v>
      </c>
      <c r="R476" s="108"/>
    </row>
    <row r="477" spans="1:18" ht="12.75">
      <c r="A477" s="120">
        <v>471</v>
      </c>
      <c r="B477" s="111" t="s">
        <v>1148</v>
      </c>
      <c r="E477" s="124"/>
      <c r="G477" s="115"/>
      <c r="H477" s="115"/>
      <c r="I477" s="115"/>
      <c r="J477" s="115"/>
      <c r="K477" s="114"/>
      <c r="L477" s="115"/>
      <c r="M477" s="115"/>
      <c r="N477" s="115"/>
      <c r="O477" s="115"/>
      <c r="P477" s="115"/>
      <c r="Q477" s="115">
        <f>E476+F476+G477+H477+I477+J477+K477+L477+M477+N477+O477+P477</f>
        <v>4643.07</v>
      </c>
      <c r="R477" s="108"/>
    </row>
    <row r="478" spans="1:18" ht="12.75">
      <c r="A478" s="116">
        <v>472</v>
      </c>
      <c r="B478" s="111" t="s">
        <v>1149</v>
      </c>
      <c r="C478" s="111">
        <v>12308</v>
      </c>
      <c r="D478" s="122">
        <v>3</v>
      </c>
      <c r="E478" s="114">
        <f>ROUND(0.04*521.42,0)*3.53*3</f>
        <v>222.39</v>
      </c>
      <c r="F478" s="114">
        <f>ROUND(0.04*409.08,0)*3.53*3</f>
        <v>169.44</v>
      </c>
      <c r="G478" s="114">
        <f>ROUND(0.04*366.33,0)*3.53*3</f>
        <v>158.85</v>
      </c>
      <c r="H478" s="114">
        <f>ROUND(0.04*254.17,0)*3.53*3</f>
        <v>105.89999999999999</v>
      </c>
      <c r="I478" s="115"/>
      <c r="J478" s="115"/>
      <c r="K478" s="114"/>
      <c r="L478" s="114"/>
      <c r="M478" s="114"/>
      <c r="N478" s="114"/>
      <c r="O478" s="114"/>
      <c r="P478" s="114"/>
      <c r="Q478" s="115">
        <f aca="true" t="shared" si="14" ref="Q478:Q484">E478+F478+G478+H478+I478+J478+K478+L478+M478+N478+O478+P478</f>
        <v>656.5799999999999</v>
      </c>
      <c r="R478" s="108"/>
    </row>
    <row r="479" spans="1:18" ht="12.75">
      <c r="A479" s="120">
        <v>473</v>
      </c>
      <c r="B479" s="111" t="s">
        <v>491</v>
      </c>
      <c r="C479" s="111">
        <v>12300</v>
      </c>
      <c r="D479" s="122" t="s">
        <v>584</v>
      </c>
      <c r="E479" s="136"/>
      <c r="F479" s="136"/>
      <c r="G479" s="136"/>
      <c r="H479" s="136"/>
      <c r="I479" s="115"/>
      <c r="J479" s="115"/>
      <c r="K479" s="114"/>
      <c r="L479" s="115"/>
      <c r="M479" s="136"/>
      <c r="N479" s="136"/>
      <c r="O479" s="136"/>
      <c r="P479" s="136"/>
      <c r="Q479" s="115">
        <f t="shared" si="14"/>
        <v>0</v>
      </c>
      <c r="R479" s="108"/>
    </row>
    <row r="480" spans="1:18" ht="14.25" customHeight="1">
      <c r="A480" s="116">
        <v>474</v>
      </c>
      <c r="B480" s="111" t="s">
        <v>1150</v>
      </c>
      <c r="C480" s="111">
        <v>12301</v>
      </c>
      <c r="D480" s="122">
        <v>15</v>
      </c>
      <c r="E480" s="113">
        <f>ROUND(0.04*521.42,0)*3.53*15</f>
        <v>1111.9499999999998</v>
      </c>
      <c r="F480" s="114">
        <f>ROUND(0.04*409.08,0)*3.53*15</f>
        <v>847.1999999999999</v>
      </c>
      <c r="G480" s="114">
        <f>ROUND(0.04*366.33,0)*3.53*15</f>
        <v>794.2499999999999</v>
      </c>
      <c r="H480" s="114">
        <f>ROUND(0.04*254.17,0)*3.53*15</f>
        <v>529.5</v>
      </c>
      <c r="I480" s="115"/>
      <c r="J480" s="115"/>
      <c r="K480" s="114"/>
      <c r="L480" s="114"/>
      <c r="M480" s="114"/>
      <c r="N480" s="114"/>
      <c r="O480" s="114"/>
      <c r="P480" s="114"/>
      <c r="Q480" s="115">
        <f t="shared" si="14"/>
        <v>3282.8999999999996</v>
      </c>
      <c r="R480" s="108"/>
    </row>
    <row r="481" spans="1:18" ht="12.75">
      <c r="A481" s="120">
        <v>475</v>
      </c>
      <c r="B481" s="111" t="s">
        <v>695</v>
      </c>
      <c r="C481" s="111">
        <v>12298</v>
      </c>
      <c r="D481" s="122" t="s">
        <v>717</v>
      </c>
      <c r="E481" s="160" t="s">
        <v>809</v>
      </c>
      <c r="F481" s="115"/>
      <c r="G481" s="115"/>
      <c r="H481" s="115"/>
      <c r="I481" s="115"/>
      <c r="J481" s="115"/>
      <c r="K481" s="114"/>
      <c r="L481" s="115"/>
      <c r="M481" s="115"/>
      <c r="N481" s="115"/>
      <c r="O481" s="115"/>
      <c r="P481" s="115"/>
      <c r="Q481" s="115" t="e">
        <f t="shared" si="14"/>
        <v>#VALUE!</v>
      </c>
      <c r="R481" s="108" t="s">
        <v>716</v>
      </c>
    </row>
    <row r="482" spans="1:17" ht="12.75">
      <c r="A482" s="116">
        <v>476</v>
      </c>
      <c r="B482" s="111" t="s">
        <v>629</v>
      </c>
      <c r="C482" s="111">
        <v>10023</v>
      </c>
      <c r="D482" s="122"/>
      <c r="E482" s="115">
        <v>1825.46</v>
      </c>
      <c r="F482" s="115">
        <v>1591.29</v>
      </c>
      <c r="G482" s="99">
        <v>1154.01</v>
      </c>
      <c r="H482" s="99">
        <v>794.33</v>
      </c>
      <c r="Q482" s="115">
        <f t="shared" si="14"/>
        <v>5365.09</v>
      </c>
    </row>
    <row r="483" spans="1:18" ht="12.75">
      <c r="A483" s="120">
        <v>477</v>
      </c>
      <c r="B483" s="111" t="s">
        <v>1151</v>
      </c>
      <c r="C483" s="111">
        <v>21492</v>
      </c>
      <c r="D483" s="122" t="s">
        <v>584</v>
      </c>
      <c r="E483" s="136"/>
      <c r="F483" s="136"/>
      <c r="G483" s="156">
        <f>ROUND(0.04*366.33,0)*3.53*2</f>
        <v>105.89999999999999</v>
      </c>
      <c r="H483" s="156">
        <f>ROUND(0.04*254.17,0)*3.53*2</f>
        <v>70.6</v>
      </c>
      <c r="I483" s="115"/>
      <c r="J483" s="115"/>
      <c r="K483" s="114"/>
      <c r="L483" s="115"/>
      <c r="M483" s="136"/>
      <c r="N483" s="136"/>
      <c r="O483" s="136"/>
      <c r="P483" s="136"/>
      <c r="Q483" s="115">
        <f t="shared" si="14"/>
        <v>176.5</v>
      </c>
      <c r="R483" s="108"/>
    </row>
    <row r="484" spans="1:18" ht="12.75">
      <c r="A484" s="116">
        <v>478</v>
      </c>
      <c r="B484" s="111" t="s">
        <v>1152</v>
      </c>
      <c r="C484" s="117">
        <v>21489</v>
      </c>
      <c r="D484" s="128">
        <v>0</v>
      </c>
      <c r="E484" s="113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>
        <f t="shared" si="14"/>
        <v>0</v>
      </c>
      <c r="R484" s="108"/>
    </row>
    <row r="485" spans="1:4" ht="12.75">
      <c r="A485" s="120">
        <v>479</v>
      </c>
      <c r="B485" s="111" t="s">
        <v>696</v>
      </c>
      <c r="C485" s="111">
        <v>21743</v>
      </c>
      <c r="D485" s="122">
        <v>1</v>
      </c>
    </row>
    <row r="486" spans="1:18" ht="12.75">
      <c r="A486" s="116">
        <v>480</v>
      </c>
      <c r="B486" s="111" t="s">
        <v>1153</v>
      </c>
      <c r="C486" s="111">
        <v>21749</v>
      </c>
      <c r="D486" s="122">
        <v>1</v>
      </c>
      <c r="E486" s="113">
        <f>ROUND(0.04*521.42,0)*3.53</f>
        <v>74.13</v>
      </c>
      <c r="F486" s="114">
        <f>ROUND(0.04*409.08,0)*3.53</f>
        <v>56.48</v>
      </c>
      <c r="G486" s="114">
        <f>ROUND(0.04*366.33,0)*3.53</f>
        <v>52.949999999999996</v>
      </c>
      <c r="H486" s="114">
        <f>ROUND(0.04*254.17,0)*3.53</f>
        <v>35.3</v>
      </c>
      <c r="I486" s="115"/>
      <c r="J486" s="115"/>
      <c r="K486" s="114"/>
      <c r="L486" s="114"/>
      <c r="M486" s="114"/>
      <c r="N486" s="114"/>
      <c r="O486" s="114"/>
      <c r="P486" s="114"/>
      <c r="Q486" s="115">
        <f aca="true" t="shared" si="15" ref="Q486:Q519">E486+F486+G486+H486+I486+J486+K486+L486+M486+N486+O486+P486</f>
        <v>218.85999999999996</v>
      </c>
      <c r="R486" s="108"/>
    </row>
    <row r="487" spans="1:18" ht="12.75">
      <c r="A487" s="120">
        <v>481</v>
      </c>
      <c r="B487" s="111" t="s">
        <v>1154</v>
      </c>
      <c r="C487" s="111">
        <v>12309</v>
      </c>
      <c r="D487" s="122" t="s">
        <v>584</v>
      </c>
      <c r="E487" s="136"/>
      <c r="F487" s="136"/>
      <c r="G487" s="136">
        <f>ROUND(0.04*366.33,0)*3.53*3</f>
        <v>158.85</v>
      </c>
      <c r="H487" s="136">
        <f>ROUND(0.04*254.17,0)*3.53*3</f>
        <v>105.89999999999999</v>
      </c>
      <c r="I487" s="115"/>
      <c r="J487" s="115"/>
      <c r="K487" s="114"/>
      <c r="L487" s="115"/>
      <c r="M487" s="136"/>
      <c r="N487" s="136"/>
      <c r="O487" s="136"/>
      <c r="P487" s="136"/>
      <c r="Q487" s="115">
        <f t="shared" si="15"/>
        <v>264.75</v>
      </c>
      <c r="R487" s="108"/>
    </row>
    <row r="488" spans="1:18" ht="12.75">
      <c r="A488" s="116">
        <v>482</v>
      </c>
      <c r="B488" s="111" t="s">
        <v>1155</v>
      </c>
      <c r="C488" s="111">
        <v>12310</v>
      </c>
      <c r="D488" s="122">
        <v>10</v>
      </c>
      <c r="E488" s="113">
        <f>ROUND(0.04*521.42,0)*3.53*10</f>
        <v>741.3</v>
      </c>
      <c r="F488" s="114">
        <f>ROUND(0.04*409.08,0)*3.53*10</f>
        <v>564.8</v>
      </c>
      <c r="G488" s="114">
        <f>ROUND(0.04*366.33,0)*3.53*10</f>
        <v>529.5</v>
      </c>
      <c r="H488" s="114">
        <f>ROUND(0.04*254.17,0)*3.53*10</f>
        <v>353</v>
      </c>
      <c r="I488" s="115"/>
      <c r="J488" s="115"/>
      <c r="K488" s="114"/>
      <c r="L488" s="114"/>
      <c r="M488" s="114"/>
      <c r="N488" s="114"/>
      <c r="O488" s="114"/>
      <c r="P488" s="114"/>
      <c r="Q488" s="115">
        <f t="shared" si="15"/>
        <v>2188.6</v>
      </c>
      <c r="R488" s="108"/>
    </row>
    <row r="489" spans="1:17" ht="12.75">
      <c r="A489" s="120">
        <v>483</v>
      </c>
      <c r="B489" s="111" t="s">
        <v>697</v>
      </c>
      <c r="C489" s="111">
        <v>10013</v>
      </c>
      <c r="Q489" s="115">
        <f t="shared" si="15"/>
        <v>0</v>
      </c>
    </row>
    <row r="490" spans="1:18" ht="12.75">
      <c r="A490" s="120">
        <v>484</v>
      </c>
      <c r="B490" s="111" t="s">
        <v>1156</v>
      </c>
      <c r="C490" s="166">
        <v>12311</v>
      </c>
      <c r="D490" s="167">
        <v>4</v>
      </c>
      <c r="E490" s="168">
        <f>ROUND(0.04*521.42,0)*3.53*4</f>
        <v>296.52</v>
      </c>
      <c r="F490" s="169">
        <f>ROUND(0.04*409.08,0)*3.53*4</f>
        <v>225.92</v>
      </c>
      <c r="G490" s="169">
        <f>ROUND(0.04*366.33,0)*3.53*4</f>
        <v>211.79999999999998</v>
      </c>
      <c r="H490" s="169">
        <f>ROUND(0.04*254.17,0)*3.53*4</f>
        <v>141.2</v>
      </c>
      <c r="I490" s="170"/>
      <c r="J490" s="170"/>
      <c r="K490" s="169"/>
      <c r="L490" s="169"/>
      <c r="M490" s="169"/>
      <c r="N490" s="169"/>
      <c r="O490" s="169"/>
      <c r="P490" s="169"/>
      <c r="Q490" s="115">
        <f t="shared" si="15"/>
        <v>875.4399999999998</v>
      </c>
      <c r="R490" s="108"/>
    </row>
    <row r="491" spans="1:18" ht="12.75">
      <c r="A491" s="120">
        <v>485</v>
      </c>
      <c r="B491" s="111" t="s">
        <v>1157</v>
      </c>
      <c r="C491" s="166">
        <v>12655</v>
      </c>
      <c r="D491" s="167">
        <v>3</v>
      </c>
      <c r="E491" s="168">
        <f>ROUND(0.04*521.42,0)*3.53*3</f>
        <v>222.39</v>
      </c>
      <c r="F491" s="169">
        <f>ROUND(0.04*409.08,0)*3.53*3</f>
        <v>169.44</v>
      </c>
      <c r="G491" s="169">
        <f>ROUND(0.04*366.33,0)*3.53*3</f>
        <v>158.85</v>
      </c>
      <c r="H491" s="169">
        <f>ROUND(0.04*254.17,0)*3.53*3</f>
        <v>105.89999999999999</v>
      </c>
      <c r="I491" s="170"/>
      <c r="J491" s="170"/>
      <c r="K491" s="169"/>
      <c r="L491" s="169"/>
      <c r="M491" s="169"/>
      <c r="N491" s="169"/>
      <c r="O491" s="169"/>
      <c r="P491" s="169"/>
      <c r="Q491" s="115">
        <f t="shared" si="15"/>
        <v>656.5799999999999</v>
      </c>
      <c r="R491" s="108"/>
    </row>
    <row r="492" spans="1:18" ht="12.75">
      <c r="A492" s="116">
        <v>486</v>
      </c>
      <c r="B492" s="111" t="s">
        <v>1158</v>
      </c>
      <c r="C492" s="171">
        <v>12667</v>
      </c>
      <c r="D492" s="172">
        <v>0</v>
      </c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19">
        <f t="shared" si="15"/>
        <v>0</v>
      </c>
      <c r="R492" s="108" t="s">
        <v>1159</v>
      </c>
    </row>
    <row r="493" spans="1:18" ht="12.75">
      <c r="A493" s="120">
        <v>487</v>
      </c>
      <c r="B493" s="111" t="s">
        <v>699</v>
      </c>
      <c r="C493" s="111">
        <v>21761</v>
      </c>
      <c r="D493" s="172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19">
        <f t="shared" si="15"/>
        <v>0</v>
      </c>
      <c r="R493" s="108"/>
    </row>
    <row r="494" spans="1:18" ht="12.75">
      <c r="A494" s="120">
        <v>488</v>
      </c>
      <c r="B494" s="111" t="s">
        <v>1160</v>
      </c>
      <c r="C494" s="166">
        <v>21836</v>
      </c>
      <c r="D494" s="167">
        <v>0</v>
      </c>
      <c r="E494" s="168"/>
      <c r="F494" s="170"/>
      <c r="G494" s="170"/>
      <c r="H494" s="170"/>
      <c r="I494" s="170"/>
      <c r="J494" s="170"/>
      <c r="K494" s="169"/>
      <c r="L494" s="170"/>
      <c r="M494" s="170"/>
      <c r="N494" s="170"/>
      <c r="O494" s="170"/>
      <c r="P494" s="170"/>
      <c r="Q494" s="115">
        <f t="shared" si="15"/>
        <v>0</v>
      </c>
      <c r="R494" s="108"/>
    </row>
    <row r="495" spans="1:18" ht="12.75">
      <c r="A495" s="116">
        <v>489</v>
      </c>
      <c r="B495" s="111" t="s">
        <v>1161</v>
      </c>
      <c r="C495" s="166">
        <v>19757</v>
      </c>
      <c r="D495" s="173" t="s">
        <v>588</v>
      </c>
      <c r="E495" s="170">
        <v>2373.12</v>
      </c>
      <c r="F495" s="170">
        <v>2599.84</v>
      </c>
      <c r="G495" s="170">
        <v>1980.28</v>
      </c>
      <c r="H495" s="170">
        <v>2119.03</v>
      </c>
      <c r="I495" s="170"/>
      <c r="J495" s="170"/>
      <c r="K495" s="169"/>
      <c r="L495" s="170"/>
      <c r="M495" s="170"/>
      <c r="N495" s="170"/>
      <c r="O495" s="170"/>
      <c r="P495" s="170"/>
      <c r="Q495" s="115">
        <f t="shared" si="15"/>
        <v>9072.27</v>
      </c>
      <c r="R495" s="108"/>
    </row>
    <row r="496" spans="1:18" ht="12.75">
      <c r="A496" s="120">
        <v>490</v>
      </c>
      <c r="B496" s="111" t="s">
        <v>1162</v>
      </c>
      <c r="C496" s="166">
        <v>19759</v>
      </c>
      <c r="D496" s="173" t="s">
        <v>588</v>
      </c>
      <c r="E496" s="170">
        <v>4397.56</v>
      </c>
      <c r="F496" s="169">
        <v>4322.28</v>
      </c>
      <c r="G496" s="169">
        <v>3896.91</v>
      </c>
      <c r="H496" s="169">
        <v>4004.85</v>
      </c>
      <c r="I496" s="170"/>
      <c r="J496" s="170"/>
      <c r="K496" s="169"/>
      <c r="L496" s="170"/>
      <c r="M496" s="170"/>
      <c r="N496" s="170"/>
      <c r="O496" s="170"/>
      <c r="P496" s="170"/>
      <c r="Q496" s="115">
        <f t="shared" si="15"/>
        <v>16621.6</v>
      </c>
      <c r="R496" s="108"/>
    </row>
    <row r="497" spans="1:18" ht="12.75">
      <c r="A497" s="116">
        <v>491</v>
      </c>
      <c r="B497" s="111" t="s">
        <v>1163</v>
      </c>
      <c r="C497" s="166">
        <v>12760</v>
      </c>
      <c r="D497" s="167" t="s">
        <v>585</v>
      </c>
      <c r="E497" s="170">
        <v>7148.21</v>
      </c>
      <c r="F497" s="170">
        <v>6982.85</v>
      </c>
      <c r="G497" s="170">
        <v>6169.9</v>
      </c>
      <c r="H497" s="170">
        <v>5475.77</v>
      </c>
      <c r="I497" s="170"/>
      <c r="J497" s="170"/>
      <c r="K497" s="169"/>
      <c r="L497" s="170"/>
      <c r="M497" s="170"/>
      <c r="N497" s="170"/>
      <c r="O497" s="170"/>
      <c r="P497" s="170"/>
      <c r="Q497" s="115">
        <f t="shared" si="15"/>
        <v>25776.73</v>
      </c>
      <c r="R497" s="108"/>
    </row>
    <row r="498" spans="1:18" ht="12.75">
      <c r="A498" s="120">
        <v>492</v>
      </c>
      <c r="B498" s="111" t="s">
        <v>1164</v>
      </c>
      <c r="C498" s="166">
        <v>12761</v>
      </c>
      <c r="D498" s="173" t="s">
        <v>588</v>
      </c>
      <c r="E498" s="170">
        <v>850.08</v>
      </c>
      <c r="F498" s="170">
        <v>834.25</v>
      </c>
      <c r="G498" s="170">
        <v>805.8499999999999</v>
      </c>
      <c r="H498" s="170">
        <v>735.65</v>
      </c>
      <c r="I498" s="170"/>
      <c r="J498" s="170"/>
      <c r="K498" s="169"/>
      <c r="L498" s="170"/>
      <c r="M498" s="170"/>
      <c r="N498" s="170"/>
      <c r="O498" s="170"/>
      <c r="P498" s="170"/>
      <c r="Q498" s="115">
        <f t="shared" si="15"/>
        <v>3225.83</v>
      </c>
      <c r="R498" s="108"/>
    </row>
    <row r="499" spans="1:18" ht="12.75">
      <c r="A499" s="116">
        <v>493</v>
      </c>
      <c r="B499" s="111" t="s">
        <v>1165</v>
      </c>
      <c r="C499" s="166">
        <v>12762</v>
      </c>
      <c r="D499" s="167" t="s">
        <v>585</v>
      </c>
      <c r="E499" s="170">
        <v>5512.73</v>
      </c>
      <c r="F499" s="170">
        <v>4703.75</v>
      </c>
      <c r="G499" s="170">
        <v>4806.7</v>
      </c>
      <c r="H499" s="170">
        <v>4050.67</v>
      </c>
      <c r="I499" s="170"/>
      <c r="J499" s="170"/>
      <c r="K499" s="169"/>
      <c r="L499" s="170"/>
      <c r="M499" s="170"/>
      <c r="N499" s="170"/>
      <c r="O499" s="170"/>
      <c r="P499" s="170"/>
      <c r="Q499" s="115">
        <f t="shared" si="15"/>
        <v>19073.85</v>
      </c>
      <c r="R499" s="108"/>
    </row>
    <row r="500" spans="1:18" ht="12.75">
      <c r="A500" s="120">
        <v>494</v>
      </c>
      <c r="B500" s="111" t="s">
        <v>1166</v>
      </c>
      <c r="C500" s="171">
        <v>12363</v>
      </c>
      <c r="D500" s="173" t="s">
        <v>588</v>
      </c>
      <c r="E500" s="170">
        <f>26562.77+92035.8</f>
        <v>118598.57</v>
      </c>
      <c r="F500" s="170">
        <f>21929.31+79864.2</f>
        <v>101793.51</v>
      </c>
      <c r="G500" s="170">
        <v>17004.03</v>
      </c>
      <c r="H500" s="170">
        <f>93230.38+13542.75</f>
        <v>106773.13</v>
      </c>
      <c r="I500" s="170"/>
      <c r="J500" s="170"/>
      <c r="K500" s="169"/>
      <c r="L500" s="170"/>
      <c r="M500" s="170"/>
      <c r="N500" s="170"/>
      <c r="O500" s="170"/>
      <c r="P500" s="170"/>
      <c r="Q500" s="115">
        <f t="shared" si="15"/>
        <v>344169.24</v>
      </c>
      <c r="R500" s="108"/>
    </row>
    <row r="501" spans="1:18" ht="12.75">
      <c r="A501" s="116">
        <v>495</v>
      </c>
      <c r="B501" s="111" t="s">
        <v>1167</v>
      </c>
      <c r="C501" s="166">
        <v>12364</v>
      </c>
      <c r="D501" s="173" t="s">
        <v>588</v>
      </c>
      <c r="E501" s="170">
        <v>7807.8</v>
      </c>
      <c r="F501" s="170">
        <v>7469.2</v>
      </c>
      <c r="G501" s="170">
        <v>7036.099999999999</v>
      </c>
      <c r="H501" s="170">
        <v>7035.19</v>
      </c>
      <c r="I501" s="170"/>
      <c r="J501" s="170"/>
      <c r="K501" s="169"/>
      <c r="L501" s="170"/>
      <c r="M501" s="170"/>
      <c r="N501" s="170"/>
      <c r="O501" s="170"/>
      <c r="P501" s="170"/>
      <c r="Q501" s="115">
        <f t="shared" si="15"/>
        <v>29348.289999999997</v>
      </c>
      <c r="R501" s="108"/>
    </row>
    <row r="502" spans="1:18" ht="12.75">
      <c r="A502" s="120">
        <v>496</v>
      </c>
      <c r="B502" s="111" t="s">
        <v>1168</v>
      </c>
      <c r="C502" s="166">
        <v>33018</v>
      </c>
      <c r="D502" s="167" t="s">
        <v>591</v>
      </c>
      <c r="E502" s="127"/>
      <c r="F502" s="170"/>
      <c r="G502" s="170"/>
      <c r="H502" s="170"/>
      <c r="I502" s="170"/>
      <c r="J502" s="170"/>
      <c r="K502" s="169"/>
      <c r="L502" s="170"/>
      <c r="M502" s="170"/>
      <c r="N502" s="170"/>
      <c r="O502" s="170"/>
      <c r="P502" s="170"/>
      <c r="Q502" s="115">
        <f t="shared" si="15"/>
        <v>0</v>
      </c>
      <c r="R502" s="108"/>
    </row>
    <row r="503" spans="1:18" ht="12.75">
      <c r="A503" s="116">
        <v>497</v>
      </c>
      <c r="B503" s="111" t="s">
        <v>1169</v>
      </c>
      <c r="C503" s="166">
        <v>12673</v>
      </c>
      <c r="D503" s="173" t="s">
        <v>588</v>
      </c>
      <c r="E503" s="170">
        <v>4949.09</v>
      </c>
      <c r="F503" s="170">
        <v>7053.85</v>
      </c>
      <c r="G503" s="170">
        <v>5577.049999999999</v>
      </c>
      <c r="H503" s="170">
        <v>4832.52</v>
      </c>
      <c r="I503" s="170"/>
      <c r="J503" s="170"/>
      <c r="K503" s="169"/>
      <c r="L503" s="170"/>
      <c r="M503" s="170"/>
      <c r="N503" s="170"/>
      <c r="O503" s="170"/>
      <c r="P503" s="170"/>
      <c r="Q503" s="115">
        <f t="shared" si="15"/>
        <v>22412.51</v>
      </c>
      <c r="R503" s="108"/>
    </row>
    <row r="504" spans="1:18" ht="12.75">
      <c r="A504" s="120">
        <v>498</v>
      </c>
      <c r="B504" s="111" t="s">
        <v>1170</v>
      </c>
      <c r="C504" s="166">
        <v>12752</v>
      </c>
      <c r="D504" s="173" t="s">
        <v>588</v>
      </c>
      <c r="E504" s="170">
        <v>7911.58</v>
      </c>
      <c r="F504" s="170">
        <v>8825.3</v>
      </c>
      <c r="G504" s="170">
        <v>6808.9</v>
      </c>
      <c r="H504" s="170">
        <v>6837.6</v>
      </c>
      <c r="I504" s="170"/>
      <c r="J504" s="170"/>
      <c r="K504" s="169"/>
      <c r="L504" s="170"/>
      <c r="M504" s="170"/>
      <c r="N504" s="170"/>
      <c r="O504" s="170"/>
      <c r="P504" s="170"/>
      <c r="Q504" s="115">
        <f t="shared" si="15"/>
        <v>30383.379999999997</v>
      </c>
      <c r="R504" s="108"/>
    </row>
    <row r="505" spans="1:18" ht="12.75">
      <c r="A505" s="116">
        <v>499</v>
      </c>
      <c r="B505" s="111" t="s">
        <v>1171</v>
      </c>
      <c r="C505" s="166">
        <v>12755</v>
      </c>
      <c r="D505" s="173" t="s">
        <v>588</v>
      </c>
      <c r="E505" s="170">
        <v>4017.26</v>
      </c>
      <c r="F505" s="170">
        <v>4512.05</v>
      </c>
      <c r="G505" s="170">
        <v>3890.7999999999997</v>
      </c>
      <c r="H505" s="170">
        <v>2784.79</v>
      </c>
      <c r="I505" s="170"/>
      <c r="J505" s="170"/>
      <c r="K505" s="169"/>
      <c r="L505" s="170"/>
      <c r="M505" s="170"/>
      <c r="N505" s="170"/>
      <c r="O505" s="170"/>
      <c r="P505" s="170"/>
      <c r="Q505" s="115">
        <f t="shared" si="15"/>
        <v>15204.900000000001</v>
      </c>
      <c r="R505" s="108"/>
    </row>
    <row r="506" spans="1:18" ht="12.75">
      <c r="A506" s="120">
        <v>500</v>
      </c>
      <c r="B506" s="111" t="s">
        <v>1172</v>
      </c>
      <c r="C506" s="166">
        <v>19760</v>
      </c>
      <c r="D506" s="173" t="s">
        <v>588</v>
      </c>
      <c r="E506" s="170">
        <v>14060.73</v>
      </c>
      <c r="F506" s="170">
        <v>13871.45</v>
      </c>
      <c r="G506" s="170">
        <v>10131.259999999998</v>
      </c>
      <c r="H506" s="170">
        <v>10054.02</v>
      </c>
      <c r="I506" s="170"/>
      <c r="J506" s="170"/>
      <c r="K506" s="169"/>
      <c r="L506" s="170"/>
      <c r="M506" s="170"/>
      <c r="N506" s="170"/>
      <c r="O506" s="170"/>
      <c r="P506" s="170"/>
      <c r="Q506" s="115">
        <f t="shared" si="15"/>
        <v>48117.46000000001</v>
      </c>
      <c r="R506" s="108"/>
    </row>
    <row r="507" spans="1:18" ht="12.75">
      <c r="A507" s="116">
        <v>501</v>
      </c>
      <c r="B507" s="111" t="s">
        <v>1173</v>
      </c>
      <c r="C507" s="166">
        <v>12753</v>
      </c>
      <c r="D507" s="173" t="s">
        <v>588</v>
      </c>
      <c r="E507" s="170">
        <v>4108.25</v>
      </c>
      <c r="F507" s="170">
        <v>4927.4</v>
      </c>
      <c r="G507" s="170">
        <v>5108.45</v>
      </c>
      <c r="H507" s="170">
        <v>4180.03</v>
      </c>
      <c r="I507" s="170"/>
      <c r="J507" s="170"/>
      <c r="K507" s="169"/>
      <c r="L507" s="170"/>
      <c r="M507" s="170"/>
      <c r="N507" s="170"/>
      <c r="O507" s="170"/>
      <c r="P507" s="170"/>
      <c r="Q507" s="115">
        <f t="shared" si="15"/>
        <v>18324.129999999997</v>
      </c>
      <c r="R507" s="108"/>
    </row>
    <row r="508" spans="1:17" ht="12.75">
      <c r="A508" s="120">
        <v>502</v>
      </c>
      <c r="B508" s="111" t="s">
        <v>1174</v>
      </c>
      <c r="Q508" s="115">
        <f t="shared" si="15"/>
        <v>0</v>
      </c>
    </row>
    <row r="509" spans="1:18" ht="12.75">
      <c r="A509" s="116">
        <v>503</v>
      </c>
      <c r="B509" s="111" t="s">
        <v>1175</v>
      </c>
      <c r="C509" s="166">
        <v>21784</v>
      </c>
      <c r="D509" s="167">
        <v>2</v>
      </c>
      <c r="E509" s="168">
        <f>ROUND(0.04*521.42,0)*3.53*2</f>
        <v>148.26</v>
      </c>
      <c r="F509" s="169">
        <f>ROUND(0.04*409.08,0)*3.53*2</f>
        <v>112.96</v>
      </c>
      <c r="G509" s="169">
        <f>ROUND(0.04*366.33,0)*3.53*2</f>
        <v>105.89999999999999</v>
      </c>
      <c r="H509" s="169">
        <f>ROUND(0.04*254.17,0)*3.53*2</f>
        <v>70.6</v>
      </c>
      <c r="I509" s="169"/>
      <c r="J509" s="170"/>
      <c r="K509" s="169"/>
      <c r="L509" s="169"/>
      <c r="M509" s="169"/>
      <c r="N509" s="169"/>
      <c r="O509" s="169"/>
      <c r="P509" s="169"/>
      <c r="Q509" s="115">
        <f t="shared" si="15"/>
        <v>437.7199999999999</v>
      </c>
      <c r="R509" s="108"/>
    </row>
    <row r="510" spans="1:18" ht="12.75">
      <c r="A510" s="120">
        <v>504</v>
      </c>
      <c r="B510" s="111" t="s">
        <v>1176</v>
      </c>
      <c r="C510" s="166">
        <v>21786</v>
      </c>
      <c r="D510" s="167">
        <v>2</v>
      </c>
      <c r="E510" s="168">
        <f>ROUND(0.04*521.42,0)*3.53*2</f>
        <v>148.26</v>
      </c>
      <c r="F510" s="169">
        <f>ROUND(0.04*409.08,0)*3.53*2</f>
        <v>112.96</v>
      </c>
      <c r="G510" s="169">
        <f>ROUND(0.04*366.33,0)*3.53*2</f>
        <v>105.89999999999999</v>
      </c>
      <c r="H510" s="169">
        <f>ROUND(0.04*254.17,0)*3.53*2</f>
        <v>70.6</v>
      </c>
      <c r="I510" s="169"/>
      <c r="J510" s="170"/>
      <c r="K510" s="169"/>
      <c r="L510" s="169"/>
      <c r="M510" s="169"/>
      <c r="N510" s="169"/>
      <c r="O510" s="169"/>
      <c r="P510" s="169"/>
      <c r="Q510" s="115">
        <f t="shared" si="15"/>
        <v>437.7199999999999</v>
      </c>
      <c r="R510" s="108"/>
    </row>
    <row r="511" spans="1:18" ht="12.75">
      <c r="A511" s="116">
        <v>505</v>
      </c>
      <c r="B511" s="111" t="s">
        <v>518</v>
      </c>
      <c r="C511" s="171">
        <v>21780</v>
      </c>
      <c r="D511" s="172" t="s">
        <v>584</v>
      </c>
      <c r="E511" s="174"/>
      <c r="F511" s="127"/>
      <c r="G511" s="127"/>
      <c r="H511" s="127"/>
      <c r="I511" s="127"/>
      <c r="J511" s="127"/>
      <c r="K511" s="127"/>
      <c r="L511" s="127"/>
      <c r="M511" s="174"/>
      <c r="N511" s="174"/>
      <c r="O511" s="174"/>
      <c r="P511" s="174"/>
      <c r="Q511" s="119">
        <f t="shared" si="15"/>
        <v>0</v>
      </c>
      <c r="R511" s="108"/>
    </row>
    <row r="512" spans="1:18" ht="12.75">
      <c r="A512" s="120">
        <v>506</v>
      </c>
      <c r="B512" s="111" t="s">
        <v>700</v>
      </c>
      <c r="C512" s="111">
        <v>21798</v>
      </c>
      <c r="D512" s="175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14">
        <f t="shared" si="15"/>
        <v>0</v>
      </c>
      <c r="R512" s="108"/>
    </row>
    <row r="513" spans="1:18" ht="12.75">
      <c r="A513" s="116">
        <v>507</v>
      </c>
      <c r="B513" s="111" t="s">
        <v>1177</v>
      </c>
      <c r="C513" s="166">
        <v>12754</v>
      </c>
      <c r="D513" s="173" t="s">
        <v>588</v>
      </c>
      <c r="E513" s="170">
        <v>5978.28</v>
      </c>
      <c r="F513" s="170">
        <v>6020.8</v>
      </c>
      <c r="G513" s="170">
        <v>3919.2</v>
      </c>
      <c r="H513" s="170">
        <v>3973.2</v>
      </c>
      <c r="I513" s="170"/>
      <c r="J513" s="170"/>
      <c r="K513" s="169"/>
      <c r="L513" s="170"/>
      <c r="M513" s="170"/>
      <c r="N513" s="170"/>
      <c r="O513" s="170"/>
      <c r="P513" s="170"/>
      <c r="Q513" s="115">
        <f t="shared" si="15"/>
        <v>19891.48</v>
      </c>
      <c r="R513" s="108"/>
    </row>
    <row r="514" spans="1:18" ht="12.75">
      <c r="A514" s="120">
        <v>508</v>
      </c>
      <c r="B514" s="111" t="s">
        <v>1178</v>
      </c>
      <c r="C514" s="166">
        <v>12756</v>
      </c>
      <c r="D514" s="167" t="s">
        <v>590</v>
      </c>
      <c r="E514" s="170">
        <v>204.74</v>
      </c>
      <c r="F514" s="170">
        <v>187.09</v>
      </c>
      <c r="G514" s="170">
        <v>416.53999999999996</v>
      </c>
      <c r="H514" s="170">
        <v>155.32</v>
      </c>
      <c r="I514" s="170"/>
      <c r="J514" s="170"/>
      <c r="K514" s="176"/>
      <c r="L514" s="170"/>
      <c r="M514" s="170"/>
      <c r="N514" s="170"/>
      <c r="O514" s="170"/>
      <c r="P514" s="170"/>
      <c r="Q514" s="115">
        <f t="shared" si="15"/>
        <v>963.69</v>
      </c>
      <c r="R514" s="108"/>
    </row>
    <row r="515" spans="1:18" ht="12.75">
      <c r="A515" s="116">
        <v>509</v>
      </c>
      <c r="B515" s="111" t="s">
        <v>1179</v>
      </c>
      <c r="C515" s="166">
        <v>21497</v>
      </c>
      <c r="D515" s="167" t="s">
        <v>584</v>
      </c>
      <c r="E515" s="177"/>
      <c r="F515" s="170"/>
      <c r="G515" s="170"/>
      <c r="H515" s="170"/>
      <c r="I515" s="170"/>
      <c r="J515" s="170"/>
      <c r="K515" s="169"/>
      <c r="L515" s="170"/>
      <c r="M515" s="177"/>
      <c r="N515" s="177"/>
      <c r="O515" s="177"/>
      <c r="P515" s="177"/>
      <c r="Q515" s="115">
        <f t="shared" si="15"/>
        <v>0</v>
      </c>
      <c r="R515" s="108"/>
    </row>
    <row r="516" spans="1:18" ht="12.75">
      <c r="A516" s="120">
        <v>510</v>
      </c>
      <c r="B516" s="111" t="s">
        <v>1180</v>
      </c>
      <c r="C516" s="166">
        <v>21278</v>
      </c>
      <c r="D516" s="167">
        <v>4</v>
      </c>
      <c r="E516" s="168">
        <f>ROUND(0.04*521.42,0)*3.53*4</f>
        <v>296.52</v>
      </c>
      <c r="F516" s="169">
        <f>ROUND(0.04*409.08,0)*3.53*4</f>
        <v>225.92</v>
      </c>
      <c r="G516" s="169">
        <f>ROUND(0.04*366.33,0)*3.53*4</f>
        <v>211.79999999999998</v>
      </c>
      <c r="H516" s="169">
        <f>ROUND(0.04*254.17,0)*3.53*4</f>
        <v>141.2</v>
      </c>
      <c r="I516" s="170"/>
      <c r="J516" s="170"/>
      <c r="K516" s="169"/>
      <c r="L516" s="169"/>
      <c r="M516" s="169"/>
      <c r="N516" s="169"/>
      <c r="O516" s="169"/>
      <c r="P516" s="169"/>
      <c r="Q516" s="115">
        <f t="shared" si="15"/>
        <v>875.4399999999998</v>
      </c>
      <c r="R516" s="108"/>
    </row>
    <row r="517" spans="1:18" ht="12.75">
      <c r="A517" s="116">
        <v>511</v>
      </c>
      <c r="B517" s="111" t="s">
        <v>1181</v>
      </c>
      <c r="C517" s="166">
        <v>21272</v>
      </c>
      <c r="D517" s="167">
        <v>3</v>
      </c>
      <c r="E517" s="168">
        <f>ROUND(0.04*521.42,0)*3.53*3</f>
        <v>222.39</v>
      </c>
      <c r="F517" s="169">
        <f>ROUND(0.04*409.08,0)*3.53*3</f>
        <v>169.44</v>
      </c>
      <c r="G517" s="169">
        <f>ROUND(0.04*366.33,0)*3.53*3</f>
        <v>158.85</v>
      </c>
      <c r="H517" s="169">
        <f>ROUND(0.04*254.17,0)*3.53*3</f>
        <v>105.89999999999999</v>
      </c>
      <c r="I517" s="170"/>
      <c r="J517" s="170"/>
      <c r="K517" s="169"/>
      <c r="L517" s="169"/>
      <c r="M517" s="169"/>
      <c r="N517" s="169"/>
      <c r="O517" s="169"/>
      <c r="P517" s="169"/>
      <c r="Q517" s="115">
        <f t="shared" si="15"/>
        <v>656.5799999999999</v>
      </c>
      <c r="R517" s="108"/>
    </row>
    <row r="518" spans="1:18" ht="12.75">
      <c r="A518" s="120">
        <v>512</v>
      </c>
      <c r="B518" s="111" t="s">
        <v>525</v>
      </c>
      <c r="C518" s="166">
        <v>12684</v>
      </c>
      <c r="D518" s="167" t="s">
        <v>584</v>
      </c>
      <c r="E518" s="170"/>
      <c r="F518" s="170"/>
      <c r="G518" s="136">
        <f>ROUND(0.04*366.33,0)*3.53*4</f>
        <v>211.79999999999998</v>
      </c>
      <c r="H518" s="136">
        <f>ROUND(0.04*254.17,0)*3.53*4</f>
        <v>141.2</v>
      </c>
      <c r="I518" s="127"/>
      <c r="J518" s="127"/>
      <c r="K518" s="127"/>
      <c r="L518" s="127"/>
      <c r="M518" s="127"/>
      <c r="N518" s="127"/>
      <c r="O518" s="127"/>
      <c r="P518" s="127"/>
      <c r="Q518" s="115">
        <f t="shared" si="15"/>
        <v>353</v>
      </c>
      <c r="R518" s="108"/>
    </row>
    <row r="519" spans="1:18" ht="12.75">
      <c r="A519" s="116">
        <v>513</v>
      </c>
      <c r="B519" s="111" t="s">
        <v>1182</v>
      </c>
      <c r="C519" s="171"/>
      <c r="D519" s="172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15">
        <f t="shared" si="15"/>
        <v>0</v>
      </c>
      <c r="R519" s="108"/>
    </row>
    <row r="520" spans="1:18" ht="12.75">
      <c r="A520" s="120">
        <v>514</v>
      </c>
      <c r="B520" s="111" t="s">
        <v>1183</v>
      </c>
      <c r="C520" s="179">
        <v>12693</v>
      </c>
      <c r="D520" s="180">
        <v>4</v>
      </c>
      <c r="I520" s="170"/>
      <c r="J520" s="170"/>
      <c r="K520" s="169"/>
      <c r="L520" s="170"/>
      <c r="M520" s="170"/>
      <c r="N520" s="170"/>
      <c r="O520" s="170"/>
      <c r="P520" s="170"/>
      <c r="Q520" s="115">
        <f>E518+F518+G518+H518+I520+J520+K520+L520+M520+N520+O520+P520</f>
        <v>353</v>
      </c>
      <c r="R520" s="108"/>
    </row>
    <row r="521" spans="1:18" ht="12.75">
      <c r="A521" s="116">
        <v>515</v>
      </c>
      <c r="B521" s="111" t="s">
        <v>1184</v>
      </c>
      <c r="C521" s="166">
        <v>12697</v>
      </c>
      <c r="D521" s="167">
        <v>4</v>
      </c>
      <c r="E521" s="168">
        <f>ROUND(0.04*521.42,0)*3.53*4</f>
        <v>296.52</v>
      </c>
      <c r="F521" s="169">
        <f>ROUND(0.04*409.08,0)*3.53*4</f>
        <v>225.92</v>
      </c>
      <c r="G521" s="169">
        <f>ROUND(0.04*366.33,0)*3.53*4</f>
        <v>211.79999999999998</v>
      </c>
      <c r="H521" s="169">
        <f>ROUND(0.04*254.17,0)*3.53*4</f>
        <v>141.2</v>
      </c>
      <c r="I521" s="170"/>
      <c r="J521" s="170"/>
      <c r="K521" s="169"/>
      <c r="L521" s="169"/>
      <c r="M521" s="169"/>
      <c r="N521" s="169"/>
      <c r="O521" s="169"/>
      <c r="P521" s="169"/>
      <c r="Q521" s="115">
        <f aca="true" t="shared" si="16" ref="Q521:Q560">E521+F521+G521+H521+I521+J521+K521+L521+M521+N521+O521+P521</f>
        <v>875.4399999999998</v>
      </c>
      <c r="R521" s="108"/>
    </row>
    <row r="522" spans="1:18" ht="12.75">
      <c r="A522" s="120">
        <v>516</v>
      </c>
      <c r="B522" s="111" t="s">
        <v>529</v>
      </c>
      <c r="C522" s="166">
        <v>12700</v>
      </c>
      <c r="D522" s="167" t="s">
        <v>584</v>
      </c>
      <c r="E522" s="170"/>
      <c r="F522" s="170"/>
      <c r="G522" s="136">
        <f>ROUND(0.04*366.33,0)*3.53*4</f>
        <v>211.79999999999998</v>
      </c>
      <c r="H522" s="136">
        <f>ROUND(0.04*254.17,0)*3.53*4</f>
        <v>141.2</v>
      </c>
      <c r="I522" s="170"/>
      <c r="J522" s="170"/>
      <c r="K522" s="169"/>
      <c r="L522" s="170"/>
      <c r="M522" s="170"/>
      <c r="N522" s="170"/>
      <c r="O522" s="170"/>
      <c r="P522" s="170"/>
      <c r="Q522" s="115">
        <f t="shared" si="16"/>
        <v>353</v>
      </c>
      <c r="R522" s="108"/>
    </row>
    <row r="523" spans="1:18" ht="12.75">
      <c r="A523" s="116">
        <v>517</v>
      </c>
      <c r="B523" s="111" t="s">
        <v>701</v>
      </c>
      <c r="C523" s="111">
        <v>12701</v>
      </c>
      <c r="D523" s="122" t="s">
        <v>717</v>
      </c>
      <c r="E523" s="168"/>
      <c r="F523" s="170"/>
      <c r="G523" s="170"/>
      <c r="H523" s="170"/>
      <c r="I523" s="170"/>
      <c r="J523" s="170"/>
      <c r="K523" s="169"/>
      <c r="L523" s="170"/>
      <c r="M523" s="170"/>
      <c r="N523" s="170"/>
      <c r="O523" s="170"/>
      <c r="P523" s="127"/>
      <c r="Q523" s="115">
        <f t="shared" si="16"/>
        <v>0</v>
      </c>
      <c r="R523" s="108" t="s">
        <v>716</v>
      </c>
    </row>
    <row r="524" spans="1:18" ht="12.75">
      <c r="A524" s="120">
        <v>518</v>
      </c>
      <c r="B524" s="111" t="s">
        <v>1185</v>
      </c>
      <c r="C524" s="171">
        <v>12703</v>
      </c>
      <c r="D524" s="172">
        <v>4</v>
      </c>
      <c r="E524" s="127">
        <f>ROUND(0.04*521.42,0)*3.53*4</f>
        <v>296.52</v>
      </c>
      <c r="F524" s="127">
        <f>ROUND(0.04*409.08,0)*3.53*4</f>
        <v>225.92</v>
      </c>
      <c r="G524" s="127">
        <f>ROUND(0.04*366.33,0)*3.53*4</f>
        <v>211.79999999999998</v>
      </c>
      <c r="H524" s="127">
        <f>ROUND(0.04*254.17,0)*3.53*4</f>
        <v>141.2</v>
      </c>
      <c r="I524" s="127"/>
      <c r="J524" s="127"/>
      <c r="K524" s="127"/>
      <c r="L524" s="127"/>
      <c r="M524" s="127"/>
      <c r="N524" s="127"/>
      <c r="O524" s="127"/>
      <c r="P524" s="127"/>
      <c r="Q524" s="119">
        <f t="shared" si="16"/>
        <v>875.4399999999998</v>
      </c>
      <c r="R524" s="108" t="s">
        <v>1186</v>
      </c>
    </row>
    <row r="525" spans="1:18" ht="12.75">
      <c r="A525" s="116">
        <v>519</v>
      </c>
      <c r="B525" s="111" t="s">
        <v>1187</v>
      </c>
      <c r="C525" s="166">
        <v>12704</v>
      </c>
      <c r="D525" s="181" t="s">
        <v>1188</v>
      </c>
      <c r="E525" s="140">
        <f>46.5*2.83*3.53</f>
        <v>464.53035</v>
      </c>
      <c r="F525" s="140">
        <f>46.5*2.83*3.53</f>
        <v>464.53035</v>
      </c>
      <c r="G525" s="140">
        <f>46.5*2.83*3.53</f>
        <v>464.53035</v>
      </c>
      <c r="H525" s="140">
        <f>46.5*2.83*3.53</f>
        <v>464.53035</v>
      </c>
      <c r="I525" s="170"/>
      <c r="J525" s="170"/>
      <c r="K525" s="169"/>
      <c r="L525" s="169"/>
      <c r="M525" s="169"/>
      <c r="N525" s="169"/>
      <c r="O525" s="169"/>
      <c r="P525" s="169"/>
      <c r="Q525" s="115">
        <f t="shared" si="16"/>
        <v>1858.1214</v>
      </c>
      <c r="R525" s="108"/>
    </row>
    <row r="526" spans="1:18" ht="12.75">
      <c r="A526" s="120">
        <v>520</v>
      </c>
      <c r="B526" s="111" t="s">
        <v>1189</v>
      </c>
      <c r="C526" s="166">
        <v>12676</v>
      </c>
      <c r="D526" s="167">
        <v>4</v>
      </c>
      <c r="E526" s="168">
        <f>ROUND(0.04*521.42,0)*3.53*4</f>
        <v>296.52</v>
      </c>
      <c r="F526" s="169">
        <f>ROUND(0.04*409.08,0)*3.53*4</f>
        <v>225.92</v>
      </c>
      <c r="G526" s="169">
        <f>ROUND(0.04*366.33,0)*3.53*4</f>
        <v>211.79999999999998</v>
      </c>
      <c r="H526" s="169">
        <f>ROUND(0.04*254.17,0)*3.53*4</f>
        <v>141.2</v>
      </c>
      <c r="I526" s="170"/>
      <c r="J526" s="170"/>
      <c r="K526" s="169"/>
      <c r="L526" s="169"/>
      <c r="M526" s="169"/>
      <c r="N526" s="169"/>
      <c r="O526" s="169"/>
      <c r="P526" s="169"/>
      <c r="Q526" s="115">
        <f t="shared" si="16"/>
        <v>875.4399999999998</v>
      </c>
      <c r="R526" s="108"/>
    </row>
    <row r="527" spans="1:18" ht="12.75">
      <c r="A527" s="116">
        <v>521</v>
      </c>
      <c r="B527" s="111" t="s">
        <v>1190</v>
      </c>
      <c r="C527" s="166">
        <v>12677</v>
      </c>
      <c r="D527" s="167">
        <v>4</v>
      </c>
      <c r="E527" s="168">
        <f>ROUND(0.04*521.42,0)*3.53*4</f>
        <v>296.52</v>
      </c>
      <c r="F527" s="169">
        <f>ROUND(0.04*409.08,0)*3.53*4</f>
        <v>225.92</v>
      </c>
      <c r="G527" s="169">
        <f>ROUND(0.04*366.33,0)*3.53*4</f>
        <v>211.79999999999998</v>
      </c>
      <c r="H527" s="169">
        <f>ROUND(0.04*254.17,0)*3.53*4</f>
        <v>141.2</v>
      </c>
      <c r="I527" s="170"/>
      <c r="J527" s="170"/>
      <c r="K527" s="169"/>
      <c r="L527" s="169"/>
      <c r="M527" s="169"/>
      <c r="N527" s="169"/>
      <c r="O527" s="169"/>
      <c r="P527" s="169"/>
      <c r="Q527" s="115">
        <f t="shared" si="16"/>
        <v>875.4399999999998</v>
      </c>
      <c r="R527" s="108"/>
    </row>
    <row r="528" spans="1:17" ht="12.75">
      <c r="A528" s="120">
        <v>522</v>
      </c>
      <c r="B528" s="111" t="s">
        <v>702</v>
      </c>
      <c r="C528" s="125">
        <v>21501</v>
      </c>
      <c r="D528" s="182">
        <v>0</v>
      </c>
      <c r="Q528" s="115">
        <f t="shared" si="16"/>
        <v>0</v>
      </c>
    </row>
    <row r="529" spans="1:17" ht="12.75">
      <c r="A529" s="116">
        <v>523</v>
      </c>
      <c r="B529" s="111" t="s">
        <v>703</v>
      </c>
      <c r="C529" s="121">
        <v>21507</v>
      </c>
      <c r="D529" s="167">
        <v>0</v>
      </c>
      <c r="Q529" s="115">
        <f t="shared" si="16"/>
        <v>0</v>
      </c>
    </row>
    <row r="530" spans="1:17" ht="12.75">
      <c r="A530" s="120">
        <v>524</v>
      </c>
      <c r="B530" s="111" t="s">
        <v>704</v>
      </c>
      <c r="C530" s="121">
        <v>21510</v>
      </c>
      <c r="D530" s="167">
        <v>0</v>
      </c>
      <c r="Q530" s="115">
        <f t="shared" si="16"/>
        <v>0</v>
      </c>
    </row>
    <row r="531" spans="1:18" ht="12.75">
      <c r="A531" s="116">
        <v>525</v>
      </c>
      <c r="B531" s="111" t="s">
        <v>1191</v>
      </c>
      <c r="C531" s="166">
        <v>21861</v>
      </c>
      <c r="D531" s="167" t="s">
        <v>585</v>
      </c>
      <c r="E531" s="183">
        <v>0</v>
      </c>
      <c r="F531" s="183">
        <v>1</v>
      </c>
      <c r="G531" s="183">
        <v>0</v>
      </c>
      <c r="H531" s="170">
        <v>0</v>
      </c>
      <c r="I531" s="170"/>
      <c r="J531" s="170"/>
      <c r="K531" s="169"/>
      <c r="L531" s="170"/>
      <c r="M531" s="170"/>
      <c r="N531" s="170"/>
      <c r="O531" s="170"/>
      <c r="P531" s="170"/>
      <c r="Q531" s="115">
        <f t="shared" si="16"/>
        <v>1</v>
      </c>
      <c r="R531" s="108"/>
    </row>
    <row r="532" spans="1:18" ht="12.75">
      <c r="A532" s="120">
        <v>526</v>
      </c>
      <c r="B532" s="111" t="s">
        <v>1192</v>
      </c>
      <c r="C532" s="166">
        <v>21862</v>
      </c>
      <c r="D532" s="167" t="s">
        <v>585</v>
      </c>
      <c r="E532" s="170">
        <v>56.85</v>
      </c>
      <c r="F532" s="170">
        <v>31.27</v>
      </c>
      <c r="G532" s="170">
        <v>59.72</v>
      </c>
      <c r="H532" s="170">
        <v>17.07</v>
      </c>
      <c r="I532" s="170"/>
      <c r="J532" s="170"/>
      <c r="K532" s="169"/>
      <c r="L532" s="170"/>
      <c r="M532" s="170"/>
      <c r="N532" s="170"/>
      <c r="O532" s="170"/>
      <c r="P532" s="170"/>
      <c r="Q532" s="115">
        <f t="shared" si="16"/>
        <v>164.91</v>
      </c>
      <c r="R532" s="108"/>
    </row>
    <row r="533" spans="1:18" ht="12.75">
      <c r="A533" s="116">
        <v>527</v>
      </c>
      <c r="B533" s="111" t="s">
        <v>1193</v>
      </c>
      <c r="C533" s="166">
        <v>21863</v>
      </c>
      <c r="D533" s="167" t="s">
        <v>585</v>
      </c>
      <c r="E533" s="170">
        <v>282.4</v>
      </c>
      <c r="F533" s="170">
        <v>201.21</v>
      </c>
      <c r="G533" s="170">
        <v>155.32</v>
      </c>
      <c r="H533" s="170">
        <v>74.13</v>
      </c>
      <c r="I533" s="170"/>
      <c r="J533" s="170"/>
      <c r="K533" s="169"/>
      <c r="L533" s="170"/>
      <c r="M533" s="170"/>
      <c r="N533" s="170"/>
      <c r="O533" s="170"/>
      <c r="P533" s="170"/>
      <c r="Q533" s="115">
        <f t="shared" si="16"/>
        <v>713.0600000000001</v>
      </c>
      <c r="R533" s="108"/>
    </row>
    <row r="534" spans="1:18" ht="12.75">
      <c r="A534" s="120">
        <v>528</v>
      </c>
      <c r="B534" s="111" t="s">
        <v>1194</v>
      </c>
      <c r="C534" s="166">
        <v>21865</v>
      </c>
      <c r="D534" s="167" t="s">
        <v>592</v>
      </c>
      <c r="E534" s="168">
        <f>ROUND(0.04*521.42,0)*3.53*2</f>
        <v>148.26</v>
      </c>
      <c r="F534" s="169">
        <f>ROUND(0.04*409.08,0)*3.53*2</f>
        <v>112.96</v>
      </c>
      <c r="G534" s="169">
        <f>ROUND(0.04*366.33,0)*3.53*2</f>
        <v>105.89999999999999</v>
      </c>
      <c r="H534" s="169">
        <f>ROUND(0.04*254.17,0)*3.53*2</f>
        <v>70.6</v>
      </c>
      <c r="I534" s="170"/>
      <c r="J534" s="170"/>
      <c r="K534" s="169"/>
      <c r="L534" s="169"/>
      <c r="M534" s="169"/>
      <c r="N534" s="169"/>
      <c r="O534" s="169"/>
      <c r="P534" s="169"/>
      <c r="Q534" s="115">
        <f t="shared" si="16"/>
        <v>437.7199999999999</v>
      </c>
      <c r="R534" s="108"/>
    </row>
    <row r="535" spans="1:18" ht="12.75">
      <c r="A535" s="116">
        <v>529</v>
      </c>
      <c r="B535" s="111" t="s">
        <v>1195</v>
      </c>
      <c r="C535" s="166">
        <v>22176</v>
      </c>
      <c r="D535" s="167">
        <v>3</v>
      </c>
      <c r="E535" s="168">
        <f>ROUND(0.04*521.42,0)*3.53*3</f>
        <v>222.39</v>
      </c>
      <c r="F535" s="169">
        <f>ROUND(0.04*409.08,0)*3.53*3</f>
        <v>169.44</v>
      </c>
      <c r="G535" s="169">
        <f>ROUND(0.04*366.33,0)*3.53*3</f>
        <v>158.85</v>
      </c>
      <c r="H535" s="169">
        <f>ROUND(0.04*254.17,0)*3.53*3</f>
        <v>105.89999999999999</v>
      </c>
      <c r="I535" s="170"/>
      <c r="J535" s="170"/>
      <c r="K535" s="169"/>
      <c r="L535" s="169"/>
      <c r="M535" s="169"/>
      <c r="N535" s="169"/>
      <c r="O535" s="169"/>
      <c r="P535" s="169"/>
      <c r="Q535" s="115">
        <f t="shared" si="16"/>
        <v>656.5799999999999</v>
      </c>
      <c r="R535" s="108"/>
    </row>
    <row r="536" spans="1:18" ht="12.75">
      <c r="A536" s="120">
        <v>530</v>
      </c>
      <c r="B536" s="111" t="s">
        <v>1196</v>
      </c>
      <c r="C536" s="166">
        <v>22184</v>
      </c>
      <c r="D536" s="167">
        <v>4</v>
      </c>
      <c r="E536" s="168">
        <f>ROUND(0.04*521.42,0)*3.53*4</f>
        <v>296.52</v>
      </c>
      <c r="F536" s="169">
        <f>ROUND(0.04*409.08,0)*3.53*4</f>
        <v>225.92</v>
      </c>
      <c r="G536" s="169">
        <f>ROUND(0.04*366.33,0)*3.53*4</f>
        <v>211.79999999999998</v>
      </c>
      <c r="H536" s="169">
        <f>ROUND(0.04*254.17,0)*3.53*4</f>
        <v>141.2</v>
      </c>
      <c r="I536" s="170"/>
      <c r="J536" s="170"/>
      <c r="K536" s="169"/>
      <c r="L536" s="169"/>
      <c r="M536" s="169"/>
      <c r="N536" s="169"/>
      <c r="O536" s="169"/>
      <c r="P536" s="169"/>
      <c r="Q536" s="115">
        <f t="shared" si="16"/>
        <v>875.4399999999998</v>
      </c>
      <c r="R536" s="108"/>
    </row>
    <row r="537" spans="1:18" ht="12.75">
      <c r="A537" s="116">
        <v>531</v>
      </c>
      <c r="B537" s="111" t="s">
        <v>1197</v>
      </c>
      <c r="C537" s="166">
        <v>22177</v>
      </c>
      <c r="D537" s="167">
        <v>4</v>
      </c>
      <c r="E537" s="168">
        <f>ROUND(0.04*521.42,0)*3.53*4</f>
        <v>296.52</v>
      </c>
      <c r="F537" s="169">
        <f>ROUND(0.04*409.08,0)*3.53*4</f>
        <v>225.92</v>
      </c>
      <c r="G537" s="169">
        <f>ROUND(0.04*366.33,0)*3.53*4</f>
        <v>211.79999999999998</v>
      </c>
      <c r="H537" s="169">
        <f>ROUND(0.04*254.17,0)*3.53*4</f>
        <v>141.2</v>
      </c>
      <c r="I537" s="170"/>
      <c r="J537" s="170"/>
      <c r="K537" s="169"/>
      <c r="L537" s="169"/>
      <c r="M537" s="169"/>
      <c r="N537" s="169"/>
      <c r="O537" s="169"/>
      <c r="P537" s="169"/>
      <c r="Q537" s="115">
        <f t="shared" si="16"/>
        <v>875.4399999999998</v>
      </c>
      <c r="R537" s="108"/>
    </row>
    <row r="538" spans="1:18" ht="12.75">
      <c r="A538" s="120">
        <v>532</v>
      </c>
      <c r="B538" s="111" t="s">
        <v>705</v>
      </c>
      <c r="C538" s="125">
        <v>22178</v>
      </c>
      <c r="D538" s="122" t="s">
        <v>717</v>
      </c>
      <c r="E538" s="170">
        <v>0</v>
      </c>
      <c r="F538" s="170">
        <v>0</v>
      </c>
      <c r="G538" s="170">
        <v>0</v>
      </c>
      <c r="H538" s="170">
        <v>0</v>
      </c>
      <c r="I538" s="170"/>
      <c r="J538" s="170"/>
      <c r="K538" s="169"/>
      <c r="L538" s="170"/>
      <c r="M538" s="170"/>
      <c r="N538" s="170"/>
      <c r="O538" s="170"/>
      <c r="P538" s="127"/>
      <c r="Q538" s="115">
        <f t="shared" si="16"/>
        <v>0</v>
      </c>
      <c r="R538" s="108" t="s">
        <v>716</v>
      </c>
    </row>
    <row r="539" spans="1:18" ht="12.75">
      <c r="A539" s="116">
        <v>533</v>
      </c>
      <c r="B539" s="111" t="s">
        <v>1198</v>
      </c>
      <c r="C539" s="166">
        <v>22186</v>
      </c>
      <c r="D539" s="167">
        <v>3</v>
      </c>
      <c r="E539" s="168">
        <f>ROUND(0.04*521.42,0)*3.53*3</f>
        <v>222.39</v>
      </c>
      <c r="F539" s="169">
        <f>ROUND(0.04*409.08,0)*3.53*3</f>
        <v>169.44</v>
      </c>
      <c r="G539" s="169">
        <f>ROUND(0.04*366.33,0)*3.53*3</f>
        <v>158.85</v>
      </c>
      <c r="H539" s="169">
        <f>ROUND(0.04*254.17,0)*3.53*3</f>
        <v>105.89999999999999</v>
      </c>
      <c r="I539" s="170"/>
      <c r="J539" s="170"/>
      <c r="K539" s="169"/>
      <c r="L539" s="169"/>
      <c r="M539" s="169"/>
      <c r="N539" s="169"/>
      <c r="O539" s="169"/>
      <c r="P539" s="169"/>
      <c r="Q539" s="115">
        <f t="shared" si="16"/>
        <v>656.5799999999999</v>
      </c>
      <c r="R539" s="108"/>
    </row>
    <row r="540" spans="1:18" ht="12.75">
      <c r="A540" s="120">
        <v>534</v>
      </c>
      <c r="B540" s="111" t="s">
        <v>1199</v>
      </c>
      <c r="C540" s="166">
        <v>22187</v>
      </c>
      <c r="D540" s="167">
        <v>4</v>
      </c>
      <c r="E540" s="168">
        <f>ROUND(0.04*521.42,0)*3.53*4</f>
        <v>296.52</v>
      </c>
      <c r="F540" s="169">
        <f>ROUND(0.04*409.08,0)*3.53*4</f>
        <v>225.92</v>
      </c>
      <c r="G540" s="169">
        <f>ROUND(0.04*366.33,0)*3.53*4</f>
        <v>211.79999999999998</v>
      </c>
      <c r="H540" s="169">
        <f>ROUND(0.04*254.17,0)*3.53*4</f>
        <v>141.2</v>
      </c>
      <c r="I540" s="170"/>
      <c r="J540" s="170"/>
      <c r="K540" s="169"/>
      <c r="L540" s="169"/>
      <c r="M540" s="169"/>
      <c r="N540" s="169"/>
      <c r="O540" s="169"/>
      <c r="P540" s="169"/>
      <c r="Q540" s="115">
        <f t="shared" si="16"/>
        <v>875.4399999999998</v>
      </c>
      <c r="R540" s="108"/>
    </row>
    <row r="541" spans="1:18" ht="12.75">
      <c r="A541" s="116">
        <v>535</v>
      </c>
      <c r="B541" s="111" t="s">
        <v>1200</v>
      </c>
      <c r="C541" s="166">
        <v>22179</v>
      </c>
      <c r="D541" s="167">
        <v>3</v>
      </c>
      <c r="E541" s="168">
        <f>ROUND(0.04*521.42,0)*3.53*3</f>
        <v>222.39</v>
      </c>
      <c r="F541" s="169">
        <f>ROUND(0.04*409.08,0)*3.53*3</f>
        <v>169.44</v>
      </c>
      <c r="G541" s="169">
        <f>ROUND(0.04*366.33,0)*3.53*3</f>
        <v>158.85</v>
      </c>
      <c r="H541" s="169">
        <f>ROUND(0.04*254.17,0)*3.53*3</f>
        <v>105.89999999999999</v>
      </c>
      <c r="I541" s="170"/>
      <c r="J541" s="170"/>
      <c r="K541" s="169"/>
      <c r="L541" s="169"/>
      <c r="M541" s="169"/>
      <c r="N541" s="169"/>
      <c r="O541" s="169"/>
      <c r="P541" s="169"/>
      <c r="Q541" s="115">
        <f t="shared" si="16"/>
        <v>656.5799999999999</v>
      </c>
      <c r="R541" s="108"/>
    </row>
    <row r="542" spans="1:18" ht="12.75">
      <c r="A542" s="120">
        <v>536</v>
      </c>
      <c r="B542" s="111" t="s">
        <v>1201</v>
      </c>
      <c r="C542" s="166">
        <v>22180</v>
      </c>
      <c r="D542" s="167">
        <v>3</v>
      </c>
      <c r="E542" s="168">
        <f>ROUND(0.04*521.42,0)*3.53*3</f>
        <v>222.39</v>
      </c>
      <c r="F542" s="169">
        <f>ROUND(0.04*409.08,0)*3.53*3</f>
        <v>169.44</v>
      </c>
      <c r="G542" s="169">
        <f>ROUND(0.04*366.33,0)*3.53*3</f>
        <v>158.85</v>
      </c>
      <c r="H542" s="169">
        <f>ROUND(0.04*254.17,0)*3.53*3</f>
        <v>105.89999999999999</v>
      </c>
      <c r="I542" s="170"/>
      <c r="J542" s="170"/>
      <c r="K542" s="169"/>
      <c r="L542" s="169"/>
      <c r="M542" s="169"/>
      <c r="N542" s="169"/>
      <c r="O542" s="169"/>
      <c r="P542" s="169"/>
      <c r="Q542" s="115">
        <f t="shared" si="16"/>
        <v>656.5799999999999</v>
      </c>
      <c r="R542" s="108"/>
    </row>
    <row r="543" spans="1:18" ht="12.75">
      <c r="A543" s="116">
        <v>537</v>
      </c>
      <c r="B543" s="111" t="s">
        <v>1202</v>
      </c>
      <c r="C543" s="166">
        <v>22181</v>
      </c>
      <c r="D543" s="167">
        <v>3</v>
      </c>
      <c r="E543" s="168">
        <f>ROUND(0.04*521.42,0)*3.53*3</f>
        <v>222.39</v>
      </c>
      <c r="F543" s="169">
        <f>ROUND(0.04*409.08,0)*3.53*3</f>
        <v>169.44</v>
      </c>
      <c r="G543" s="169">
        <f>ROUND(0.04*366.33,0)*3.53*3</f>
        <v>158.85</v>
      </c>
      <c r="H543" s="169">
        <f>ROUND(0.04*254.17,0)*3.53*3</f>
        <v>105.89999999999999</v>
      </c>
      <c r="I543" s="170"/>
      <c r="J543" s="170"/>
      <c r="K543" s="169"/>
      <c r="L543" s="169"/>
      <c r="M543" s="169"/>
      <c r="N543" s="169"/>
      <c r="O543" s="169"/>
      <c r="P543" s="169"/>
      <c r="Q543" s="115">
        <f t="shared" si="16"/>
        <v>656.5799999999999</v>
      </c>
      <c r="R543" s="108"/>
    </row>
    <row r="544" spans="1:18" ht="12.75">
      <c r="A544" s="120">
        <v>538</v>
      </c>
      <c r="B544" s="111" t="s">
        <v>1203</v>
      </c>
      <c r="C544" s="166">
        <v>22182</v>
      </c>
      <c r="D544" s="167">
        <v>3</v>
      </c>
      <c r="E544" s="168">
        <f>ROUND(0.04*521.42,0)*3.53*3</f>
        <v>222.39</v>
      </c>
      <c r="F544" s="169">
        <f>ROUND(0.04*409.08,0)*3.53*3</f>
        <v>169.44</v>
      </c>
      <c r="G544" s="169">
        <f>ROUND(0.04*366.33,0)*3.53*3</f>
        <v>158.85</v>
      </c>
      <c r="H544" s="169">
        <f>ROUND(0.04*254.17,0)*3.53*3</f>
        <v>105.89999999999999</v>
      </c>
      <c r="I544" s="170"/>
      <c r="J544" s="170"/>
      <c r="K544" s="169"/>
      <c r="L544" s="169"/>
      <c r="M544" s="169"/>
      <c r="N544" s="169"/>
      <c r="O544" s="169"/>
      <c r="P544" s="169"/>
      <c r="Q544" s="115">
        <f t="shared" si="16"/>
        <v>656.5799999999999</v>
      </c>
      <c r="R544" s="108"/>
    </row>
    <row r="545" spans="1:18" ht="12.75">
      <c r="A545" s="116">
        <v>539</v>
      </c>
      <c r="B545" s="111" t="s">
        <v>1204</v>
      </c>
      <c r="C545" s="166">
        <v>22183</v>
      </c>
      <c r="D545" s="167">
        <v>3</v>
      </c>
      <c r="E545" s="168">
        <f>ROUND(0.04*521.42,0)*3.53*3</f>
        <v>222.39</v>
      </c>
      <c r="F545" s="169">
        <f>ROUND(0.04*409.08,0)*3.53*3</f>
        <v>169.44</v>
      </c>
      <c r="G545" s="169">
        <f>ROUND(0.04*366.33,0)*3.53*3</f>
        <v>158.85</v>
      </c>
      <c r="H545" s="169">
        <f>ROUND(0.04*254.17,0)*3.53*3</f>
        <v>105.89999999999999</v>
      </c>
      <c r="I545" s="170"/>
      <c r="J545" s="170"/>
      <c r="K545" s="169"/>
      <c r="L545" s="169"/>
      <c r="M545" s="169"/>
      <c r="N545" s="169"/>
      <c r="O545" s="169"/>
      <c r="P545" s="169"/>
      <c r="Q545" s="115">
        <f t="shared" si="16"/>
        <v>656.5799999999999</v>
      </c>
      <c r="R545" s="108"/>
    </row>
    <row r="546" spans="1:18" ht="12.75">
      <c r="A546" s="120">
        <v>540</v>
      </c>
      <c r="B546" s="111" t="s">
        <v>1205</v>
      </c>
      <c r="C546" s="166">
        <v>22174</v>
      </c>
      <c r="D546" s="167">
        <v>27</v>
      </c>
      <c r="E546" s="168">
        <f>ROUND(0.04*521.42,0)*3.53*27</f>
        <v>2001.5099999999998</v>
      </c>
      <c r="F546" s="169">
        <f>ROUND(0.04*409.08,0)*3.53*27</f>
        <v>1524.9599999999998</v>
      </c>
      <c r="G546" s="169">
        <f>ROUND(0.04*366.33,0)*3.53*27</f>
        <v>1429.6499999999999</v>
      </c>
      <c r="H546" s="169">
        <f>ROUND(0.04*254.17,0)*3.53*27</f>
        <v>953.0999999999999</v>
      </c>
      <c r="I546" s="170"/>
      <c r="J546" s="170"/>
      <c r="K546" s="169"/>
      <c r="L546" s="169"/>
      <c r="M546" s="169"/>
      <c r="N546" s="169"/>
      <c r="O546" s="169"/>
      <c r="P546" s="169"/>
      <c r="Q546" s="115">
        <f t="shared" si="16"/>
        <v>5909.219999999999</v>
      </c>
      <c r="R546" s="108"/>
    </row>
    <row r="547" spans="1:18" ht="12.75">
      <c r="A547" s="116">
        <v>541</v>
      </c>
      <c r="B547" s="111" t="s">
        <v>1206</v>
      </c>
      <c r="C547" s="166">
        <v>22175</v>
      </c>
      <c r="D547" s="167" t="s">
        <v>593</v>
      </c>
      <c r="E547" s="168">
        <f>ROUND(0.04*521.42,0)*3.53*3</f>
        <v>222.39</v>
      </c>
      <c r="F547" s="169">
        <f>ROUND(0.04*409.08,0)*3.53*3</f>
        <v>169.44</v>
      </c>
      <c r="G547" s="169">
        <f>ROUND(0.04*366.33,0)*3.53*3</f>
        <v>158.85</v>
      </c>
      <c r="H547" s="169">
        <f>ROUND(0.04*254.17,0)*3.53*3</f>
        <v>105.89999999999999</v>
      </c>
      <c r="I547" s="170"/>
      <c r="J547" s="170"/>
      <c r="K547" s="169"/>
      <c r="L547" s="169"/>
      <c r="M547" s="169"/>
      <c r="N547" s="169"/>
      <c r="O547" s="169"/>
      <c r="P547" s="169"/>
      <c r="Q547" s="115">
        <f t="shared" si="16"/>
        <v>656.5799999999999</v>
      </c>
      <c r="R547" s="108"/>
    </row>
    <row r="548" spans="1:18" ht="12.75">
      <c r="A548" s="120">
        <v>542</v>
      </c>
      <c r="B548" s="111" t="s">
        <v>1207</v>
      </c>
      <c r="C548" s="166">
        <v>12163</v>
      </c>
      <c r="D548" s="167">
        <v>3</v>
      </c>
      <c r="E548" s="168">
        <f>ROUND(0.04*521.42,0)*3.53*3</f>
        <v>222.39</v>
      </c>
      <c r="F548" s="169">
        <f>ROUND(0.04*409.08,0)*3.53*3</f>
        <v>169.44</v>
      </c>
      <c r="G548" s="169">
        <f>ROUND(0.04*366.33,0)*3.53*3</f>
        <v>158.85</v>
      </c>
      <c r="H548" s="169">
        <f>ROUND(0.04*254.17,0)*3.53*3</f>
        <v>105.89999999999999</v>
      </c>
      <c r="I548" s="170"/>
      <c r="J548" s="170"/>
      <c r="K548" s="169"/>
      <c r="L548" s="169"/>
      <c r="M548" s="169"/>
      <c r="N548" s="169"/>
      <c r="O548" s="169"/>
      <c r="P548" s="169"/>
      <c r="Q548" s="115">
        <f t="shared" si="16"/>
        <v>656.5799999999999</v>
      </c>
      <c r="R548" s="108"/>
    </row>
    <row r="549" spans="1:18" ht="12.75">
      <c r="A549" s="116">
        <v>543</v>
      </c>
      <c r="B549" s="111" t="s">
        <v>1208</v>
      </c>
      <c r="C549" s="166">
        <v>21799</v>
      </c>
      <c r="D549" s="167">
        <v>1</v>
      </c>
      <c r="E549" s="168">
        <f>ROUND(0.04*521.42,0)*3.53</f>
        <v>74.13</v>
      </c>
      <c r="F549" s="169">
        <f>ROUND(0.04*409.08,0)*3.53</f>
        <v>56.48</v>
      </c>
      <c r="G549" s="169">
        <f>ROUND(0.04*366.33,0)*3.53</f>
        <v>52.949999999999996</v>
      </c>
      <c r="H549" s="169">
        <f>ROUND(0.04*254.17,0)*3.53</f>
        <v>35.3</v>
      </c>
      <c r="I549" s="170"/>
      <c r="J549" s="170"/>
      <c r="K549" s="169"/>
      <c r="L549" s="169"/>
      <c r="M549" s="169"/>
      <c r="N549" s="169"/>
      <c r="O549" s="169"/>
      <c r="P549" s="169"/>
      <c r="Q549" s="115">
        <f t="shared" si="16"/>
        <v>218.85999999999996</v>
      </c>
      <c r="R549" s="108"/>
    </row>
    <row r="550" spans="1:18" ht="12.75">
      <c r="A550" s="120">
        <v>544</v>
      </c>
      <c r="B550" s="111" t="s">
        <v>1209</v>
      </c>
      <c r="C550" s="171">
        <v>21809</v>
      </c>
      <c r="D550" s="172">
        <v>6</v>
      </c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19">
        <f t="shared" si="16"/>
        <v>0</v>
      </c>
      <c r="R550" s="108" t="s">
        <v>1210</v>
      </c>
    </row>
    <row r="551" spans="1:18" ht="12.75">
      <c r="A551" s="116">
        <v>545</v>
      </c>
      <c r="B551" s="111" t="s">
        <v>1211</v>
      </c>
      <c r="C551" s="166">
        <v>22161</v>
      </c>
      <c r="D551" s="167" t="s">
        <v>584</v>
      </c>
      <c r="E551" s="170"/>
      <c r="F551" s="170"/>
      <c r="G551" s="170"/>
      <c r="H551" s="170"/>
      <c r="I551" s="170"/>
      <c r="J551" s="170"/>
      <c r="K551" s="169"/>
      <c r="L551" s="170"/>
      <c r="M551" s="170"/>
      <c r="N551" s="170"/>
      <c r="O551" s="170"/>
      <c r="P551" s="170"/>
      <c r="Q551" s="115">
        <f t="shared" si="16"/>
        <v>0</v>
      </c>
      <c r="R551" s="108"/>
    </row>
    <row r="552" spans="1:18" ht="12.75">
      <c r="A552" s="120">
        <v>546</v>
      </c>
      <c r="B552" s="111" t="s">
        <v>1212</v>
      </c>
      <c r="C552" s="111">
        <v>22164</v>
      </c>
      <c r="D552" s="122">
        <v>4</v>
      </c>
      <c r="E552" s="113">
        <f>ROUND(0.04*521.42,0)*3.53*4</f>
        <v>296.52</v>
      </c>
      <c r="F552" s="114">
        <f>ROUND(0.04*409.08,0)*3.53*4</f>
        <v>225.92</v>
      </c>
      <c r="G552" s="114">
        <f>ROUND(0.04*366.33,0)*3.53*4</f>
        <v>211.79999999999998</v>
      </c>
      <c r="H552" s="114">
        <f>ROUND(0.04*254.17,0)*3.53*4</f>
        <v>141.2</v>
      </c>
      <c r="I552" s="115"/>
      <c r="J552" s="115"/>
      <c r="K552" s="114"/>
      <c r="L552" s="114"/>
      <c r="M552" s="114"/>
      <c r="N552" s="114"/>
      <c r="O552" s="114"/>
      <c r="P552" s="114"/>
      <c r="Q552" s="115">
        <f t="shared" si="16"/>
        <v>875.4399999999998</v>
      </c>
      <c r="R552" s="108"/>
    </row>
    <row r="553" spans="1:17" ht="12.75">
      <c r="A553" s="116">
        <v>547</v>
      </c>
      <c r="B553" s="111" t="s">
        <v>1213</v>
      </c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15">
        <f t="shared" si="16"/>
        <v>0</v>
      </c>
    </row>
    <row r="554" spans="1:17" ht="12.75">
      <c r="A554" s="120">
        <v>548</v>
      </c>
      <c r="B554" s="111" t="s">
        <v>1214</v>
      </c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15">
        <f t="shared" si="16"/>
        <v>0</v>
      </c>
    </row>
    <row r="555" spans="1:17" ht="12.75">
      <c r="A555" s="116">
        <v>549</v>
      </c>
      <c r="B555" s="111" t="s">
        <v>1215</v>
      </c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15">
        <f t="shared" si="16"/>
        <v>0</v>
      </c>
    </row>
    <row r="556" spans="1:17" ht="12.75">
      <c r="A556" s="120">
        <v>550</v>
      </c>
      <c r="B556" s="111" t="s">
        <v>1216</v>
      </c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15">
        <f t="shared" si="16"/>
        <v>0</v>
      </c>
    </row>
    <row r="557" spans="1:18" ht="12.75">
      <c r="A557" s="116">
        <v>551</v>
      </c>
      <c r="B557" s="111" t="s">
        <v>557</v>
      </c>
      <c r="C557" s="111">
        <v>10001</v>
      </c>
      <c r="D557" s="122" t="s">
        <v>1217</v>
      </c>
      <c r="E557" s="131">
        <f>33.5*2.83*3.53</f>
        <v>334.66165</v>
      </c>
      <c r="F557" s="131">
        <f>33.5*2.83*3.53</f>
        <v>334.66165</v>
      </c>
      <c r="G557" s="131">
        <f>33.5*2.83*3.53</f>
        <v>334.66165</v>
      </c>
      <c r="H557" s="131">
        <f>33.5*2.83*3.53</f>
        <v>334.66165</v>
      </c>
      <c r="I557" s="115"/>
      <c r="J557" s="115"/>
      <c r="K557" s="114"/>
      <c r="L557" s="115"/>
      <c r="M557" s="115"/>
      <c r="N557" s="115"/>
      <c r="O557" s="115"/>
      <c r="P557" s="115"/>
      <c r="Q557" s="115">
        <f t="shared" si="16"/>
        <v>1338.6466</v>
      </c>
      <c r="R557" s="108"/>
    </row>
    <row r="558" spans="1:18" ht="12.75">
      <c r="A558" s="120">
        <v>552</v>
      </c>
      <c r="B558" s="111" t="s">
        <v>558</v>
      </c>
      <c r="C558" s="111">
        <v>10002</v>
      </c>
      <c r="D558" s="122" t="s">
        <v>1218</v>
      </c>
      <c r="E558" s="131">
        <f>30.6*2.83*3.53</f>
        <v>305.69094</v>
      </c>
      <c r="F558" s="131">
        <f>30.6*2.83*3.53</f>
        <v>305.69094</v>
      </c>
      <c r="G558" s="131">
        <f>30.6*2.83*3.53</f>
        <v>305.69094</v>
      </c>
      <c r="H558" s="131">
        <f>30.6*2.83*3.53</f>
        <v>305.69094</v>
      </c>
      <c r="I558" s="115"/>
      <c r="J558" s="115"/>
      <c r="K558" s="114"/>
      <c r="L558" s="115"/>
      <c r="M558" s="115"/>
      <c r="N558" s="115"/>
      <c r="O558" s="115"/>
      <c r="P558" s="115"/>
      <c r="Q558" s="115">
        <f t="shared" si="16"/>
        <v>1222.76376</v>
      </c>
      <c r="R558" s="108"/>
    </row>
    <row r="559" spans="1:18" ht="12.75">
      <c r="A559" s="116">
        <v>553</v>
      </c>
      <c r="B559" s="111" t="s">
        <v>559</v>
      </c>
      <c r="C559" s="111">
        <v>10003</v>
      </c>
      <c r="D559" s="122" t="s">
        <v>1219</v>
      </c>
      <c r="E559" s="131">
        <f>30.2*2.83*3.53</f>
        <v>301.69498</v>
      </c>
      <c r="F559" s="131">
        <f>30.2*2.83*3.53</f>
        <v>301.69498</v>
      </c>
      <c r="G559" s="131">
        <f>30.2*2.83*3.53</f>
        <v>301.69498</v>
      </c>
      <c r="H559" s="131">
        <f>30.2*2.83*3.53</f>
        <v>301.69498</v>
      </c>
      <c r="I559" s="115"/>
      <c r="J559" s="115"/>
      <c r="K559" s="114"/>
      <c r="L559" s="115"/>
      <c r="M559" s="115"/>
      <c r="N559" s="115"/>
      <c r="O559" s="115"/>
      <c r="P559" s="115"/>
      <c r="Q559" s="115">
        <f t="shared" si="16"/>
        <v>1206.77992</v>
      </c>
      <c r="R559" s="108"/>
    </row>
    <row r="560" spans="1:18" ht="12.75">
      <c r="A560" s="120">
        <v>554</v>
      </c>
      <c r="B560" s="111" t="s">
        <v>560</v>
      </c>
      <c r="C560" s="111">
        <v>10004</v>
      </c>
      <c r="D560" s="122" t="s">
        <v>1220</v>
      </c>
      <c r="E560" s="131">
        <f>30.1*2.83*3.53</f>
        <v>300.69599</v>
      </c>
      <c r="F560" s="131">
        <f>30.1*2.83*3.53</f>
        <v>300.69599</v>
      </c>
      <c r="G560" s="131">
        <f>30.1*2.83*3.53</f>
        <v>300.69599</v>
      </c>
      <c r="H560" s="131">
        <f>30.1*2.83*3.53</f>
        <v>300.69599</v>
      </c>
      <c r="I560" s="115"/>
      <c r="J560" s="115"/>
      <c r="K560" s="114"/>
      <c r="L560" s="115"/>
      <c r="M560" s="115"/>
      <c r="N560" s="115"/>
      <c r="O560" s="115"/>
      <c r="P560" s="115"/>
      <c r="Q560" s="115">
        <f t="shared" si="16"/>
        <v>1202.78396</v>
      </c>
      <c r="R560" s="108"/>
    </row>
    <row r="561" spans="1:18" ht="12.75">
      <c r="A561" s="116">
        <v>555</v>
      </c>
      <c r="B561" s="111" t="s">
        <v>1221</v>
      </c>
      <c r="C561" s="125">
        <v>10009</v>
      </c>
      <c r="D561" s="125"/>
      <c r="E561" s="125"/>
      <c r="F561" s="125"/>
      <c r="G561" s="115"/>
      <c r="H561" s="115"/>
      <c r="I561" s="115"/>
      <c r="J561" s="115"/>
      <c r="K561" s="114"/>
      <c r="L561" s="115"/>
      <c r="M561" s="115"/>
      <c r="N561" s="115"/>
      <c r="O561" s="115"/>
      <c r="P561" s="115"/>
      <c r="Q561" s="115">
        <f>E371+F371+G561+H561+I561+J561+K561+L561+M561+N561+O561+P561</f>
        <v>9289.67</v>
      </c>
      <c r="R561" s="108"/>
    </row>
    <row r="562" spans="1:18" ht="12.75">
      <c r="A562" s="120">
        <v>556</v>
      </c>
      <c r="B562" s="111" t="s">
        <v>1222</v>
      </c>
      <c r="C562" s="125">
        <v>34261</v>
      </c>
      <c r="D562" s="125"/>
      <c r="E562" s="125"/>
      <c r="F562" s="125"/>
      <c r="G562" s="115"/>
      <c r="H562" s="115"/>
      <c r="I562" s="115"/>
      <c r="J562" s="115"/>
      <c r="K562" s="114"/>
      <c r="L562" s="115"/>
      <c r="M562" s="115"/>
      <c r="N562" s="115"/>
      <c r="O562" s="115"/>
      <c r="P562" s="115"/>
      <c r="Q562" s="115">
        <f>E461+F461+G562+H562+I562+J562+K562+L562+M562+N562+O562+P562</f>
        <v>23695.06</v>
      </c>
      <c r="R562" s="108"/>
    </row>
    <row r="563" spans="1:18" ht="12.75">
      <c r="A563" s="116">
        <v>557</v>
      </c>
      <c r="B563" s="111" t="s">
        <v>1223</v>
      </c>
      <c r="C563" s="125">
        <v>34265</v>
      </c>
      <c r="D563" s="125"/>
      <c r="E563" s="125"/>
      <c r="F563" s="125"/>
      <c r="G563" s="115"/>
      <c r="H563" s="115"/>
      <c r="I563" s="115"/>
      <c r="J563" s="115"/>
      <c r="K563" s="114"/>
      <c r="L563" s="115"/>
      <c r="M563" s="115"/>
      <c r="N563" s="115"/>
      <c r="O563" s="115"/>
      <c r="P563" s="115"/>
      <c r="Q563" s="115">
        <f>E482+F482+G563+H563+I563+J563+K563+L563+M563+N563+O563+P563</f>
        <v>3416.75</v>
      </c>
      <c r="R563" s="108"/>
    </row>
    <row r="564" spans="1:18" ht="12.75">
      <c r="A564" s="120">
        <v>558</v>
      </c>
      <c r="B564" s="111" t="s">
        <v>1224</v>
      </c>
      <c r="C564" s="121">
        <v>21612</v>
      </c>
      <c r="D564" s="184" t="s">
        <v>717</v>
      </c>
      <c r="E564" s="115"/>
      <c r="F564" s="115"/>
      <c r="G564" s="115"/>
      <c r="H564" s="115"/>
      <c r="I564" s="115"/>
      <c r="J564" s="115"/>
      <c r="K564" s="114"/>
      <c r="L564" s="115"/>
      <c r="M564" s="115"/>
      <c r="N564" s="115"/>
      <c r="O564" s="115"/>
      <c r="P564" s="115"/>
      <c r="Q564" s="115">
        <f aca="true" t="shared" si="17" ref="Q564:Q569">E564+F564+G564+H564+I564+J564+K564+L564+M564+N564+O564+P564</f>
        <v>0</v>
      </c>
      <c r="R564" s="108" t="s">
        <v>723</v>
      </c>
    </row>
    <row r="565" spans="1:18" ht="12.75">
      <c r="A565" s="116">
        <v>559</v>
      </c>
      <c r="B565" s="111" t="s">
        <v>1225</v>
      </c>
      <c r="C565" s="111">
        <v>32001</v>
      </c>
      <c r="D565" s="122"/>
      <c r="E565" s="115"/>
      <c r="F565" s="115"/>
      <c r="G565" s="115"/>
      <c r="H565" s="115"/>
      <c r="I565" s="115"/>
      <c r="J565" s="115"/>
      <c r="K565" s="114"/>
      <c r="L565" s="115"/>
      <c r="M565" s="115"/>
      <c r="N565" s="115"/>
      <c r="O565" s="115"/>
      <c r="P565" s="115"/>
      <c r="Q565" s="115">
        <f t="shared" si="17"/>
        <v>0</v>
      </c>
      <c r="R565" s="108"/>
    </row>
    <row r="566" spans="1:18" ht="13.5" thickBot="1">
      <c r="A566" s="120">
        <v>560</v>
      </c>
      <c r="B566" s="111" t="s">
        <v>1226</v>
      </c>
      <c r="C566" s="185">
        <v>32292</v>
      </c>
      <c r="D566" s="167"/>
      <c r="E566" s="170"/>
      <c r="F566" s="170"/>
      <c r="G566" s="170"/>
      <c r="H566" s="170"/>
      <c r="I566" s="170"/>
      <c r="J566" s="170"/>
      <c r="K566" s="169"/>
      <c r="L566" s="170"/>
      <c r="M566" s="170"/>
      <c r="N566" s="170"/>
      <c r="O566" s="170"/>
      <c r="P566" s="127"/>
      <c r="Q566" s="170">
        <f t="shared" si="17"/>
        <v>0</v>
      </c>
      <c r="R566" s="108" t="s">
        <v>723</v>
      </c>
    </row>
    <row r="567" spans="1:18" ht="13.5" thickBot="1">
      <c r="A567" s="186"/>
      <c r="B567" s="187" t="s">
        <v>1227</v>
      </c>
      <c r="C567" s="188"/>
      <c r="D567" s="189"/>
      <c r="E567" s="190">
        <f>SUM(E7:E566)</f>
        <v>1387361.6480500004</v>
      </c>
      <c r="F567" s="191">
        <f>SUM(F7:F566)</f>
        <v>1582104.2080499958</v>
      </c>
      <c r="G567" s="191">
        <f>SUM(G7:G566)</f>
        <v>1128186.1180500013</v>
      </c>
      <c r="H567" s="191">
        <f aca="true" t="shared" si="18" ref="H567:P567">SUM(H7:H566)</f>
        <v>1157755.6414899982</v>
      </c>
      <c r="I567" s="191">
        <f t="shared" si="18"/>
        <v>518.91</v>
      </c>
      <c r="J567" s="191">
        <f t="shared" si="18"/>
        <v>518.91</v>
      </c>
      <c r="K567" s="191">
        <f t="shared" si="18"/>
        <v>518.91</v>
      </c>
      <c r="L567" s="191">
        <f t="shared" si="18"/>
        <v>518.91</v>
      </c>
      <c r="M567" s="191">
        <f t="shared" si="18"/>
        <v>518.91</v>
      </c>
      <c r="N567" s="191">
        <f t="shared" si="18"/>
        <v>518.91</v>
      </c>
      <c r="O567" s="191">
        <f t="shared" si="18"/>
        <v>518.91</v>
      </c>
      <c r="P567" s="191">
        <f t="shared" si="18"/>
        <v>518.91</v>
      </c>
      <c r="Q567" s="192">
        <f t="shared" si="17"/>
        <v>5259558.895639997</v>
      </c>
      <c r="R567" s="108"/>
    </row>
    <row r="568" spans="2:18" ht="12.75">
      <c r="B568" s="193" t="s">
        <v>728</v>
      </c>
      <c r="C568" s="194"/>
      <c r="D568" s="195"/>
      <c r="E568" s="196">
        <v>1140976.76</v>
      </c>
      <c r="F568" s="197">
        <v>1324716.49</v>
      </c>
      <c r="G568" s="198">
        <v>845415.34</v>
      </c>
      <c r="H568" s="198">
        <v>943774.32</v>
      </c>
      <c r="I568" s="198"/>
      <c r="J568" s="198"/>
      <c r="K568" s="199"/>
      <c r="L568" s="198"/>
      <c r="M568" s="198"/>
      <c r="N568" s="198"/>
      <c r="O568" s="198"/>
      <c r="P568" s="198"/>
      <c r="Q568" s="198">
        <f t="shared" si="17"/>
        <v>4254882.91</v>
      </c>
      <c r="R568" s="108"/>
    </row>
    <row r="569" spans="2:18" ht="12.75">
      <c r="B569" s="193" t="s">
        <v>706</v>
      </c>
      <c r="C569" s="121"/>
      <c r="D569" s="122"/>
      <c r="E569" s="200">
        <v>252387</v>
      </c>
      <c r="F569" s="200">
        <v>265573.6</v>
      </c>
      <c r="G569" s="200">
        <v>261555.8</v>
      </c>
      <c r="H569" s="200">
        <v>223023.2</v>
      </c>
      <c r="I569" s="200"/>
      <c r="J569" s="200"/>
      <c r="K569" s="196"/>
      <c r="L569" s="200"/>
      <c r="M569" s="200"/>
      <c r="N569" s="200"/>
      <c r="O569" s="200"/>
      <c r="P569" s="200"/>
      <c r="Q569" s="200">
        <f t="shared" si="17"/>
        <v>1002539.5999999999</v>
      </c>
      <c r="R569" s="108"/>
    </row>
    <row r="570" spans="2:20" s="213" customFormat="1" ht="12">
      <c r="B570" s="222" t="s">
        <v>598</v>
      </c>
      <c r="C570" s="203"/>
      <c r="D570" s="223"/>
      <c r="E570" s="221">
        <f aca="true" t="shared" si="19" ref="E570:Q570">E568+E569</f>
        <v>1393363.76</v>
      </c>
      <c r="F570" s="221">
        <f t="shared" si="19"/>
        <v>1590290.0899999999</v>
      </c>
      <c r="G570" s="221">
        <f t="shared" si="19"/>
        <v>1106971.14</v>
      </c>
      <c r="H570" s="221">
        <f t="shared" si="19"/>
        <v>1166797.52</v>
      </c>
      <c r="I570" s="221">
        <f t="shared" si="19"/>
        <v>0</v>
      </c>
      <c r="J570" s="221">
        <f t="shared" si="19"/>
        <v>0</v>
      </c>
      <c r="K570" s="221">
        <f t="shared" si="19"/>
        <v>0</v>
      </c>
      <c r="L570" s="221">
        <f t="shared" si="19"/>
        <v>0</v>
      </c>
      <c r="M570" s="221">
        <f t="shared" si="19"/>
        <v>0</v>
      </c>
      <c r="N570" s="221">
        <f t="shared" si="19"/>
        <v>0</v>
      </c>
      <c r="O570" s="221">
        <f t="shared" si="19"/>
        <v>0</v>
      </c>
      <c r="P570" s="221">
        <f t="shared" si="19"/>
        <v>0</v>
      </c>
      <c r="Q570" s="221">
        <f t="shared" si="19"/>
        <v>5257422.51</v>
      </c>
      <c r="R570" s="224"/>
      <c r="T570" s="214"/>
    </row>
    <row r="571" spans="2:18" ht="12.75">
      <c r="B571" s="193" t="s">
        <v>707</v>
      </c>
      <c r="C571" s="121"/>
      <c r="D571" s="122"/>
      <c r="E571" s="200">
        <v>78220.55</v>
      </c>
      <c r="F571" s="206">
        <v>87119.72</v>
      </c>
      <c r="G571" s="200">
        <v>50082.4</v>
      </c>
      <c r="H571" s="200"/>
      <c r="I571" s="200"/>
      <c r="J571" s="200"/>
      <c r="K571" s="196"/>
      <c r="L571" s="200"/>
      <c r="M571" s="200"/>
      <c r="N571" s="200"/>
      <c r="O571" s="200"/>
      <c r="P571" s="200"/>
      <c r="Q571" s="200">
        <f>E571+F571+G571+H571+I571+J571+K571+L571+M571+N571+O571+P571</f>
        <v>215422.67</v>
      </c>
      <c r="R571" s="108"/>
    </row>
    <row r="572" spans="2:18" s="207" customFormat="1" ht="12.75">
      <c r="B572" s="208" t="s">
        <v>708</v>
      </c>
      <c r="C572" s="209"/>
      <c r="D572" s="210"/>
      <c r="E572" s="211">
        <f aca="true" t="shared" si="20" ref="E572:P572">E571+E570</f>
        <v>1471584.31</v>
      </c>
      <c r="F572" s="211">
        <f t="shared" si="20"/>
        <v>1677409.8099999998</v>
      </c>
      <c r="G572" s="211">
        <f t="shared" si="20"/>
        <v>1157053.5399999998</v>
      </c>
      <c r="H572" s="211">
        <f t="shared" si="20"/>
        <v>1166797.52</v>
      </c>
      <c r="I572" s="211">
        <f t="shared" si="20"/>
        <v>0</v>
      </c>
      <c r="J572" s="211">
        <f t="shared" si="20"/>
        <v>0</v>
      </c>
      <c r="K572" s="211">
        <f t="shared" si="20"/>
        <v>0</v>
      </c>
      <c r="L572" s="211">
        <f t="shared" si="20"/>
        <v>0</v>
      </c>
      <c r="M572" s="211">
        <f t="shared" si="20"/>
        <v>0</v>
      </c>
      <c r="N572" s="211">
        <f t="shared" si="20"/>
        <v>0</v>
      </c>
      <c r="O572" s="211">
        <f t="shared" si="20"/>
        <v>0</v>
      </c>
      <c r="P572" s="211">
        <f t="shared" si="20"/>
        <v>0</v>
      </c>
      <c r="Q572" s="211">
        <f>E572+F572+G572+H572+I572+J572+K572+L572+M572+N572+O572+P572</f>
        <v>5472845.18</v>
      </c>
      <c r="R572" s="212"/>
    </row>
    <row r="573" spans="5:17" s="213" customFormat="1" ht="12">
      <c r="E573" s="214">
        <f>E570-E567</f>
        <v>6002.111949999584</v>
      </c>
      <c r="F573" s="214">
        <f aca="true" t="shared" si="21" ref="F573:P573">F570-F567</f>
        <v>8185.881950004026</v>
      </c>
      <c r="G573" s="214">
        <f t="shared" si="21"/>
        <v>-21214.97805000143</v>
      </c>
      <c r="H573" s="214">
        <f t="shared" si="21"/>
        <v>9041.878510001814</v>
      </c>
      <c r="I573" s="214">
        <f t="shared" si="21"/>
        <v>-518.91</v>
      </c>
      <c r="J573" s="214">
        <f t="shared" si="21"/>
        <v>-518.91</v>
      </c>
      <c r="K573" s="214">
        <f t="shared" si="21"/>
        <v>-518.91</v>
      </c>
      <c r="L573" s="214">
        <f t="shared" si="21"/>
        <v>-518.91</v>
      </c>
      <c r="M573" s="214">
        <f t="shared" si="21"/>
        <v>-518.91</v>
      </c>
      <c r="N573" s="214">
        <f t="shared" si="21"/>
        <v>-518.91</v>
      </c>
      <c r="O573" s="214">
        <f t="shared" si="21"/>
        <v>-518.91</v>
      </c>
      <c r="P573" s="214">
        <f t="shared" si="21"/>
        <v>-518.91</v>
      </c>
      <c r="Q573" s="215">
        <f>E573+F573+G573+H573+I573+J573+K573+L573+M573+N573+O573+P573</f>
        <v>-2136.3856399960064</v>
      </c>
    </row>
    <row r="574" spans="2:20" ht="12.75">
      <c r="B574" s="99" t="s">
        <v>1228</v>
      </c>
      <c r="T574" s="197"/>
    </row>
    <row r="575" spans="1:20" ht="12.75">
      <c r="A575" s="120"/>
      <c r="B575" s="216" t="s">
        <v>672</v>
      </c>
      <c r="C575" s="117">
        <v>21822</v>
      </c>
      <c r="D575" s="12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>
        <f>E575+F575+G575+H575+I575+J575+K575+L575+M575+N575+O575+P575</f>
        <v>0</v>
      </c>
      <c r="R575" s="108" t="s">
        <v>715</v>
      </c>
      <c r="T575" s="197"/>
    </row>
    <row r="576" spans="1:18" ht="12.75">
      <c r="A576" s="120"/>
      <c r="B576" s="217" t="s">
        <v>526</v>
      </c>
      <c r="C576" s="171">
        <v>12687</v>
      </c>
      <c r="D576" s="172">
        <v>4</v>
      </c>
      <c r="E576" s="127">
        <f>ROUND(0.04*521.42,0)*3.53*4</f>
        <v>296.52</v>
      </c>
      <c r="F576" s="127">
        <f>ROUND(0.04*409.08,0)*3.53*4</f>
        <v>225.92</v>
      </c>
      <c r="G576" s="127">
        <f>ROUND(0.04*366.33,0)*3.53*4</f>
        <v>211.79999999999998</v>
      </c>
      <c r="H576" s="127">
        <f>ROUND(0.04*254.17,0)*3.53*4</f>
        <v>141.2</v>
      </c>
      <c r="I576" s="127"/>
      <c r="J576" s="127"/>
      <c r="K576" s="127"/>
      <c r="L576" s="127"/>
      <c r="M576" s="127"/>
      <c r="N576" s="127"/>
      <c r="O576" s="127"/>
      <c r="P576" s="127"/>
      <c r="Q576" s="119">
        <f>E576+F576+G576+H576+I576+J576+K576+L576+M576+N576+O576+P576</f>
        <v>875.4399999999998</v>
      </c>
      <c r="R576" s="108" t="s">
        <v>1229</v>
      </c>
    </row>
    <row r="577" spans="1:18" ht="12.75">
      <c r="A577" s="120"/>
      <c r="B577" s="217" t="s">
        <v>527</v>
      </c>
      <c r="C577" s="171">
        <v>12690</v>
      </c>
      <c r="D577" s="172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19">
        <f>E577+F577+G577+H577+I577+J577+K577+L577+M577+N577+O577+P577</f>
        <v>0</v>
      </c>
      <c r="R577" s="218" t="s">
        <v>733</v>
      </c>
    </row>
    <row r="578" spans="1:18" ht="12.75">
      <c r="A578" s="120"/>
      <c r="B578" s="217" t="s">
        <v>551</v>
      </c>
      <c r="C578" s="171">
        <v>12157</v>
      </c>
      <c r="D578" s="172">
        <v>3</v>
      </c>
      <c r="E578" s="127">
        <f>ROUND(0.04*521.42,0)*3.53*3</f>
        <v>222.39</v>
      </c>
      <c r="F578" s="127">
        <f>ROUND(0.04*409.08,0)*3.53*3</f>
        <v>169.44</v>
      </c>
      <c r="G578" s="127">
        <f>ROUND(0.04*366.33,0)*3.53*3</f>
        <v>158.85</v>
      </c>
      <c r="H578" s="127">
        <f>ROUND(0.04*254.17,0)*3.53*3</f>
        <v>105.89999999999999</v>
      </c>
      <c r="I578" s="170"/>
      <c r="J578" s="170"/>
      <c r="K578" s="169"/>
      <c r="L578" s="169"/>
      <c r="M578" s="169"/>
      <c r="N578" s="169"/>
      <c r="O578" s="169"/>
      <c r="P578" s="169"/>
      <c r="Q578" s="115"/>
      <c r="R578" s="108" t="s">
        <v>1230</v>
      </c>
    </row>
    <row r="579" spans="1:18" ht="12.75">
      <c r="A579" s="120"/>
      <c r="B579" s="137" t="s">
        <v>553</v>
      </c>
      <c r="C579" s="185">
        <v>21807</v>
      </c>
      <c r="D579" s="175">
        <v>1</v>
      </c>
      <c r="E579" s="169">
        <f>ROUND(0.04*521.42,0)*3.53</f>
        <v>74.13</v>
      </c>
      <c r="F579" s="169">
        <f>ROUND(0.04*409.08,0)*3.53</f>
        <v>56.48</v>
      </c>
      <c r="G579" s="169">
        <f>ROUND(0.04*366.33,0)*3.53</f>
        <v>52.949999999999996</v>
      </c>
      <c r="H579" s="169">
        <f>ROUND(0.04*254.17,0)*3.53</f>
        <v>35.3</v>
      </c>
      <c r="I579" s="169"/>
      <c r="J579" s="169"/>
      <c r="K579" s="169"/>
      <c r="L579" s="169"/>
      <c r="M579" s="169"/>
      <c r="N579" s="169"/>
      <c r="O579" s="169"/>
      <c r="P579" s="169"/>
      <c r="Q579" s="114">
        <f>E579+F579+G579+H579+I579+J579+K579+L579+M579+N579+O579+P579</f>
        <v>218.85999999999996</v>
      </c>
      <c r="R579" s="108" t="s">
        <v>1231</v>
      </c>
    </row>
    <row r="582" ht="12.75"/>
    <row r="583" ht="12.75"/>
    <row r="584" ht="12.75"/>
    <row r="586" ht="12.75"/>
  </sheetData>
  <sheetProtection/>
  <autoFilter ref="A5:R579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3:U807"/>
  <sheetViews>
    <sheetView tabSelected="1" zoomScale="110" zoomScaleNormal="110" zoomScalePageLayoutView="0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R314" sqref="R314:R315"/>
    </sheetView>
  </sheetViews>
  <sheetFormatPr defaultColWidth="9.00390625" defaultRowHeight="12.75"/>
  <cols>
    <col min="1" max="1" width="5.75390625" style="99" customWidth="1"/>
    <col min="2" max="2" width="42.75390625" style="99" customWidth="1"/>
    <col min="3" max="3" width="7.125" style="99" customWidth="1"/>
    <col min="4" max="4" width="8.625" style="99" customWidth="1"/>
    <col min="5" max="5" width="11.75390625" style="99" customWidth="1"/>
    <col min="6" max="6" width="11.875" style="99" customWidth="1"/>
    <col min="7" max="7" width="11.75390625" style="99" customWidth="1"/>
    <col min="8" max="8" width="12.375" style="99" customWidth="1"/>
    <col min="9" max="15" width="11.875" style="99" customWidth="1"/>
    <col min="16" max="16" width="11.875" style="99" bestFit="1" customWidth="1"/>
    <col min="17" max="17" width="13.625" style="99" customWidth="1"/>
    <col min="18" max="18" width="9.125" style="99" customWidth="1"/>
    <col min="19" max="19" width="11.75390625" style="268" customWidth="1"/>
    <col min="20" max="20" width="9.125" style="99" customWidth="1"/>
    <col min="21" max="21" width="9.75390625" style="99" customWidth="1"/>
    <col min="22" max="22" width="5.75390625" style="99" customWidth="1"/>
    <col min="23" max="16384" width="9.125" style="99" customWidth="1"/>
  </cols>
  <sheetData>
    <row r="1" ht="12.75"/>
    <row r="2" ht="12.75"/>
    <row r="3" ht="12.75">
      <c r="A3" s="98" t="s">
        <v>569</v>
      </c>
    </row>
    <row r="4" ht="13.5" thickBot="1"/>
    <row r="5" spans="1:19" ht="31.5" customHeight="1" thickBot="1">
      <c r="A5" s="100" t="s">
        <v>71</v>
      </c>
      <c r="B5" s="101" t="s">
        <v>734</v>
      </c>
      <c r="C5" s="102" t="s">
        <v>72</v>
      </c>
      <c r="D5" s="103" t="s">
        <v>568</v>
      </c>
      <c r="E5" s="104" t="s">
        <v>569</v>
      </c>
      <c r="F5" s="104" t="s">
        <v>570</v>
      </c>
      <c r="G5" s="105" t="s">
        <v>571</v>
      </c>
      <c r="H5" s="105" t="s">
        <v>572</v>
      </c>
      <c r="I5" s="106" t="s">
        <v>573</v>
      </c>
      <c r="J5" s="106" t="s">
        <v>574</v>
      </c>
      <c r="K5" s="107" t="s">
        <v>575</v>
      </c>
      <c r="L5" s="107" t="s">
        <v>576</v>
      </c>
      <c r="M5" s="107" t="s">
        <v>577</v>
      </c>
      <c r="N5" s="107" t="s">
        <v>578</v>
      </c>
      <c r="O5" s="107" t="s">
        <v>579</v>
      </c>
      <c r="P5" s="107" t="s">
        <v>580</v>
      </c>
      <c r="Q5" s="106" t="s">
        <v>597</v>
      </c>
      <c r="R5" s="108"/>
      <c r="S5" s="269"/>
    </row>
    <row r="6" spans="1:18" ht="13.5" customHeight="1" thickBot="1">
      <c r="A6" s="109">
        <v>1</v>
      </c>
      <c r="B6" s="101">
        <f aca="true" t="shared" si="0" ref="B6:Q6">A6+1</f>
        <v>2</v>
      </c>
      <c r="C6" s="101">
        <f t="shared" si="0"/>
        <v>3</v>
      </c>
      <c r="D6" s="101">
        <f t="shared" si="0"/>
        <v>4</v>
      </c>
      <c r="E6" s="101">
        <f t="shared" si="0"/>
        <v>5</v>
      </c>
      <c r="F6" s="101">
        <f t="shared" si="0"/>
        <v>6</v>
      </c>
      <c r="G6" s="101">
        <f t="shared" si="0"/>
        <v>7</v>
      </c>
      <c r="H6" s="101">
        <f t="shared" si="0"/>
        <v>8</v>
      </c>
      <c r="I6" s="101">
        <f t="shared" si="0"/>
        <v>9</v>
      </c>
      <c r="J6" s="101">
        <f t="shared" si="0"/>
        <v>10</v>
      </c>
      <c r="K6" s="101">
        <f t="shared" si="0"/>
        <v>11</v>
      </c>
      <c r="L6" s="101">
        <f t="shared" si="0"/>
        <v>12</v>
      </c>
      <c r="M6" s="101">
        <f t="shared" si="0"/>
        <v>13</v>
      </c>
      <c r="N6" s="101">
        <f t="shared" si="0"/>
        <v>14</v>
      </c>
      <c r="O6" s="101">
        <f t="shared" si="0"/>
        <v>15</v>
      </c>
      <c r="P6" s="101">
        <f t="shared" si="0"/>
        <v>16</v>
      </c>
      <c r="Q6" s="101">
        <f t="shared" si="0"/>
        <v>17</v>
      </c>
      <c r="R6" s="108"/>
    </row>
    <row r="7" spans="1:21" ht="13.5" customHeight="1">
      <c r="A7" s="110">
        <v>1</v>
      </c>
      <c r="B7" s="111" t="s">
        <v>735</v>
      </c>
      <c r="C7" s="237">
        <v>21602</v>
      </c>
      <c r="D7" s="238">
        <v>2</v>
      </c>
      <c r="E7" s="239">
        <f>ROUND(0.04*521.42,0)*3.53*2</f>
        <v>148.26</v>
      </c>
      <c r="F7" s="240">
        <f>ROUND(0.04*409.08,0)*3.53*2</f>
        <v>112.96</v>
      </c>
      <c r="G7" s="240">
        <f>ROUND(0.04*366.33,0)*3.53*2</f>
        <v>105.89999999999999</v>
      </c>
      <c r="H7" s="240">
        <f>ROUND(0.04*254.17,0)*3.53*2</f>
        <v>70.6</v>
      </c>
      <c r="I7" s="240">
        <f>ROUND(0.04*168.83,0)*3.53*2</f>
        <v>49.419999999999995</v>
      </c>
      <c r="J7" s="240">
        <f>ROUND(0.04*102.5,0)*3.53*2</f>
        <v>28.24</v>
      </c>
      <c r="K7" s="240">
        <f>ROUND(0.04*143.25,0)*3.84*2</f>
        <v>46.08</v>
      </c>
      <c r="L7" s="240">
        <f>(0.04*235.08)*3.84*2</f>
        <v>72.216576</v>
      </c>
      <c r="M7" s="240">
        <f>(0.04*314.166)*3.84*2</f>
        <v>96.5117952</v>
      </c>
      <c r="N7" s="260">
        <f>(0.04*430.833)*3.84*2</f>
        <v>132.35189760000003</v>
      </c>
      <c r="O7" s="260"/>
      <c r="P7" s="260"/>
      <c r="Q7" s="241">
        <f>E7+F7+G7+H7+I214+J7+K7+L7+M7+N7+O7+P7</f>
        <v>21735.320268800006</v>
      </c>
      <c r="R7" s="108"/>
      <c r="S7" s="270"/>
      <c r="U7" s="253"/>
    </row>
    <row r="8" spans="1:21" ht="13.5" customHeight="1">
      <c r="A8" s="116">
        <f>A7+1</f>
        <v>2</v>
      </c>
      <c r="B8" s="111" t="s">
        <v>736</v>
      </c>
      <c r="C8" s="117">
        <v>21600</v>
      </c>
      <c r="D8" s="118">
        <v>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>
        <f aca="true" t="shared" si="1" ref="Q8:Q71">E8+F8+G8+H8+I8+J8+K8+L8+M8+N8+O8+P8</f>
        <v>0</v>
      </c>
      <c r="R8" s="256" t="s">
        <v>737</v>
      </c>
      <c r="S8" s="270"/>
      <c r="U8" s="253"/>
    </row>
    <row r="9" spans="1:21" ht="12.75">
      <c r="A9" s="116">
        <f aca="true" t="shared" si="2" ref="A9:A72">A8+1</f>
        <v>3</v>
      </c>
      <c r="B9" s="111" t="s">
        <v>738</v>
      </c>
      <c r="C9" s="111">
        <v>21610</v>
      </c>
      <c r="D9" s="112">
        <v>2</v>
      </c>
      <c r="E9" s="113">
        <f>ROUND(0.04*521.42,0)*3.53*2</f>
        <v>148.26</v>
      </c>
      <c r="F9" s="114">
        <f>ROUND(0.04*409.08,0)*3.53*2</f>
        <v>112.96</v>
      </c>
      <c r="G9" s="114">
        <f>ROUND(0.04*366.33,0)*3.53*2</f>
        <v>105.89999999999999</v>
      </c>
      <c r="H9" s="114">
        <f>ROUND(0.04*254.17,0)*3.53*2</f>
        <v>70.6</v>
      </c>
      <c r="I9" s="114">
        <f>ROUND(0.04*168.83,0)*3.53*2</f>
        <v>49.419999999999995</v>
      </c>
      <c r="J9" s="114">
        <f>ROUND(0.04*102.5,0)*3.53*2</f>
        <v>28.24</v>
      </c>
      <c r="K9" s="114">
        <f>ROUND(0.04*143.25,0)*3.84*2</f>
        <v>46.08</v>
      </c>
      <c r="L9" s="114">
        <f>(0.04*235.08)*3.84*2</f>
        <v>72.216576</v>
      </c>
      <c r="M9" s="240">
        <f>(0.04*314.166)*3.84*2</f>
        <v>96.5117952</v>
      </c>
      <c r="N9" s="260">
        <f>(0.04*430.833)*3.84*2</f>
        <v>132.35189760000003</v>
      </c>
      <c r="O9" s="260"/>
      <c r="P9" s="260"/>
      <c r="Q9" s="115">
        <f t="shared" si="1"/>
        <v>862.5402687999999</v>
      </c>
      <c r="R9" s="108" t="s">
        <v>1377</v>
      </c>
      <c r="S9" s="270"/>
      <c r="U9" s="253"/>
    </row>
    <row r="10" spans="1:21" ht="12.75">
      <c r="A10" s="116">
        <f t="shared" si="2"/>
        <v>4</v>
      </c>
      <c r="B10" s="111" t="s">
        <v>633</v>
      </c>
      <c r="C10" s="121">
        <v>21612</v>
      </c>
      <c r="D10" s="122" t="s">
        <v>717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>
        <f t="shared" si="1"/>
        <v>0</v>
      </c>
      <c r="R10" s="256" t="s">
        <v>723</v>
      </c>
      <c r="S10" s="270"/>
      <c r="U10" s="253"/>
    </row>
    <row r="11" spans="1:21" ht="12.75">
      <c r="A11" s="116">
        <f t="shared" si="2"/>
        <v>5</v>
      </c>
      <c r="B11" s="111" t="s">
        <v>739</v>
      </c>
      <c r="C11" s="117">
        <v>21606</v>
      </c>
      <c r="D11" s="118">
        <v>0</v>
      </c>
      <c r="E11" s="113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>
        <f t="shared" si="1"/>
        <v>0</v>
      </c>
      <c r="R11" s="108"/>
      <c r="S11" s="270"/>
      <c r="U11" s="253"/>
    </row>
    <row r="12" spans="1:21" ht="12.75">
      <c r="A12" s="116">
        <f t="shared" si="2"/>
        <v>6</v>
      </c>
      <c r="B12" s="111" t="s">
        <v>740</v>
      </c>
      <c r="C12" s="111">
        <v>21607</v>
      </c>
      <c r="D12" s="112">
        <v>2</v>
      </c>
      <c r="E12" s="113">
        <f>ROUND(0.04*521.42,0)*3.53*2</f>
        <v>148.26</v>
      </c>
      <c r="F12" s="114">
        <f>ROUND(0.04*409.08,0)*3.53*2</f>
        <v>112.96</v>
      </c>
      <c r="G12" s="114">
        <f>ROUND(0.04*366.33,0)*3.53*2</f>
        <v>105.89999999999999</v>
      </c>
      <c r="H12" s="114">
        <f>ROUND(0.04*254.17,0)*3.53*2</f>
        <v>70.6</v>
      </c>
      <c r="I12" s="114">
        <f>ROUND(0.04*168.83,0)*3.53*2</f>
        <v>49.419999999999995</v>
      </c>
      <c r="J12" s="114">
        <v>0</v>
      </c>
      <c r="K12" s="114">
        <v>0</v>
      </c>
      <c r="L12" s="114"/>
      <c r="M12" s="119"/>
      <c r="N12" s="119"/>
      <c r="O12" s="119"/>
      <c r="P12" s="119"/>
      <c r="Q12" s="115">
        <f t="shared" si="1"/>
        <v>487.13999999999993</v>
      </c>
      <c r="R12" s="108" t="s">
        <v>277</v>
      </c>
      <c r="S12" s="270"/>
      <c r="U12" s="253"/>
    </row>
    <row r="13" spans="1:21" ht="12.75">
      <c r="A13" s="116">
        <f t="shared" si="2"/>
        <v>7</v>
      </c>
      <c r="B13" s="111" t="s">
        <v>741</v>
      </c>
      <c r="C13" s="111">
        <v>21619</v>
      </c>
      <c r="D13" s="112">
        <v>1</v>
      </c>
      <c r="E13" s="113">
        <f>ROUND(0.04*521.42,0)*3.53</f>
        <v>74.13</v>
      </c>
      <c r="F13" s="114">
        <f>ROUND(0.04*409.08,0)*3.53</f>
        <v>56.48</v>
      </c>
      <c r="G13" s="114">
        <f>ROUND(0.04*366.33,0)*3.53</f>
        <v>52.949999999999996</v>
      </c>
      <c r="H13" s="114">
        <f>ROUND(0.04*254.17,0)*3.53</f>
        <v>35.3</v>
      </c>
      <c r="I13" s="114">
        <f>ROUND(0.04*168.83,0)*3.53</f>
        <v>24.709999999999997</v>
      </c>
      <c r="J13" s="114">
        <f>ROUND(0.04*102.5,0)*3.53</f>
        <v>14.12</v>
      </c>
      <c r="K13" s="114">
        <f>ROUND(0.04*143.25,0)*3.84</f>
        <v>23.04</v>
      </c>
      <c r="L13" s="114">
        <f>(0.04*235.08)*3.84</f>
        <v>36.108288</v>
      </c>
      <c r="M13" s="114">
        <f>(0.04*314.166)*3.84</f>
        <v>48.2558976</v>
      </c>
      <c r="N13" s="261">
        <f>(0.04*430.833)*3.84</f>
        <v>66.17594880000001</v>
      </c>
      <c r="O13" s="261"/>
      <c r="P13" s="261"/>
      <c r="Q13" s="115">
        <f t="shared" si="1"/>
        <v>431.27013439999996</v>
      </c>
      <c r="R13" s="108"/>
      <c r="S13" s="270"/>
      <c r="U13" s="253"/>
    </row>
    <row r="14" spans="1:21" ht="12.75">
      <c r="A14" s="116">
        <f t="shared" si="2"/>
        <v>8</v>
      </c>
      <c r="B14" s="111" t="s">
        <v>742</v>
      </c>
      <c r="C14" s="111">
        <v>10010</v>
      </c>
      <c r="D14" s="112" t="s">
        <v>584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>
        <f t="shared" si="1"/>
        <v>0</v>
      </c>
      <c r="R14" s="108" t="s">
        <v>278</v>
      </c>
      <c r="S14" s="270"/>
      <c r="U14" s="253"/>
    </row>
    <row r="15" spans="1:21" ht="12.75">
      <c r="A15" s="116">
        <f t="shared" si="2"/>
        <v>9</v>
      </c>
      <c r="B15" s="111" t="s">
        <v>743</v>
      </c>
      <c r="C15" s="111">
        <v>12200</v>
      </c>
      <c r="D15" s="122">
        <v>18</v>
      </c>
      <c r="E15" s="113">
        <f>ROUND(0.04*521.42,0)*3.53*18</f>
        <v>1334.34</v>
      </c>
      <c r="F15" s="114">
        <f>ROUND(0.04*409.08,0)*3.53*18</f>
        <v>1016.64</v>
      </c>
      <c r="G15" s="114">
        <f>ROUND(0.04*366.33,0)*3.53*18</f>
        <v>953.0999999999999</v>
      </c>
      <c r="H15" s="114">
        <f>ROUND(0.04*254.17,0)*3.53*18</f>
        <v>635.4</v>
      </c>
      <c r="I15" s="114">
        <f>ROUND(0.04*168.83,0)*3.53*18</f>
        <v>444.78</v>
      </c>
      <c r="J15" s="114">
        <f>ROUND(0.04*102.5,0)*3.53*18</f>
        <v>254.16</v>
      </c>
      <c r="K15" s="114">
        <f>ROUND(0.04*143.25,0)*3.84*18</f>
        <v>414.71999999999997</v>
      </c>
      <c r="L15" s="114">
        <f>(0.04*235.08)*3.84*18</f>
        <v>649.9491840000001</v>
      </c>
      <c r="M15" s="114">
        <f>(0.04*314.166)*3.84*18</f>
        <v>868.6061568</v>
      </c>
      <c r="N15" s="261">
        <f>(0.04*430.833)*3.84*18</f>
        <v>1191.1670784000003</v>
      </c>
      <c r="O15" s="261"/>
      <c r="P15" s="261"/>
      <c r="Q15" s="115">
        <f t="shared" si="1"/>
        <v>7762.862419200001</v>
      </c>
      <c r="R15" s="219" t="s">
        <v>1368</v>
      </c>
      <c r="S15" s="270"/>
      <c r="U15" s="253"/>
    </row>
    <row r="16" spans="1:21" ht="12.75">
      <c r="A16" s="116">
        <f t="shared" si="2"/>
        <v>10</v>
      </c>
      <c r="B16" s="111" t="s">
        <v>744</v>
      </c>
      <c r="C16" s="121"/>
      <c r="D16" s="123" t="s">
        <v>584</v>
      </c>
      <c r="E16" s="114"/>
      <c r="F16" s="114"/>
      <c r="G16" s="114"/>
      <c r="H16" s="114"/>
      <c r="I16" s="114"/>
      <c r="J16" s="114"/>
      <c r="K16" s="114"/>
      <c r="L16" s="114"/>
      <c r="M16" s="131">
        <f>21.6*2.83*3.84</f>
        <v>234.73152000000002</v>
      </c>
      <c r="N16" s="119"/>
      <c r="O16" s="119"/>
      <c r="P16" s="119"/>
      <c r="Q16" s="114">
        <f t="shared" si="1"/>
        <v>234.73152000000002</v>
      </c>
      <c r="R16" s="108" t="s">
        <v>279</v>
      </c>
      <c r="S16" s="271"/>
      <c r="U16" s="253"/>
    </row>
    <row r="17" spans="1:21" ht="12.75">
      <c r="A17" s="116">
        <f t="shared" si="2"/>
        <v>11</v>
      </c>
      <c r="B17" s="111" t="s">
        <v>745</v>
      </c>
      <c r="C17" s="9">
        <v>21302</v>
      </c>
      <c r="D17" s="125"/>
      <c r="E17" s="150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14">
        <f t="shared" si="1"/>
        <v>0</v>
      </c>
      <c r="R17" s="99" t="s">
        <v>280</v>
      </c>
      <c r="S17" s="270"/>
      <c r="U17" s="253"/>
    </row>
    <row r="18" spans="1:21" ht="12.75">
      <c r="A18" s="116">
        <f t="shared" si="2"/>
        <v>12</v>
      </c>
      <c r="B18" s="111" t="s">
        <v>746</v>
      </c>
      <c r="C18" s="111">
        <v>11103</v>
      </c>
      <c r="D18" s="122" t="s">
        <v>619</v>
      </c>
      <c r="E18" s="115">
        <v>107.33</v>
      </c>
      <c r="F18" s="115">
        <v>112.29</v>
      </c>
      <c r="G18" s="115">
        <v>73.92</v>
      </c>
      <c r="H18" s="115">
        <v>83.16</v>
      </c>
      <c r="I18" s="115">
        <v>85.3</v>
      </c>
      <c r="J18" s="115">
        <v>90.99</v>
      </c>
      <c r="K18" s="115">
        <v>88.78</v>
      </c>
      <c r="L18" s="115">
        <v>91.77</v>
      </c>
      <c r="M18" s="115">
        <v>107.41</v>
      </c>
      <c r="N18" s="115">
        <v>107.41</v>
      </c>
      <c r="O18" s="115">
        <v>105.8</v>
      </c>
      <c r="P18" s="115">
        <v>136.85</v>
      </c>
      <c r="Q18" s="115">
        <f t="shared" si="1"/>
        <v>1191.0099999999998</v>
      </c>
      <c r="R18" s="108"/>
      <c r="S18" s="270"/>
      <c r="U18" s="253"/>
    </row>
    <row r="19" spans="1:21" ht="12.75">
      <c r="A19" s="116">
        <f t="shared" si="2"/>
        <v>13</v>
      </c>
      <c r="B19" s="111" t="s">
        <v>747</v>
      </c>
      <c r="C19" s="111">
        <v>11101</v>
      </c>
      <c r="D19" s="122" t="s">
        <v>585</v>
      </c>
      <c r="E19" s="115">
        <v>1705.57</v>
      </c>
      <c r="F19" s="115">
        <v>1126.47</v>
      </c>
      <c r="G19" s="115">
        <v>1246.79</v>
      </c>
      <c r="H19" s="115">
        <v>1120.98</v>
      </c>
      <c r="I19" s="115">
        <v>774.09</v>
      </c>
      <c r="J19" s="115">
        <v>781.29</v>
      </c>
      <c r="K19" s="115">
        <v>838.58</v>
      </c>
      <c r="L19" s="115">
        <v>884.81</v>
      </c>
      <c r="M19" s="115">
        <v>1267.53</v>
      </c>
      <c r="N19" s="115">
        <v>1569.29</v>
      </c>
      <c r="O19" s="115">
        <v>1553.88</v>
      </c>
      <c r="P19" s="115">
        <v>1616.9</v>
      </c>
      <c r="Q19" s="115">
        <f t="shared" si="1"/>
        <v>14486.180000000002</v>
      </c>
      <c r="R19" s="108"/>
      <c r="S19" s="270"/>
      <c r="U19" s="253"/>
    </row>
    <row r="20" spans="1:21" ht="12.75">
      <c r="A20" s="116">
        <f t="shared" si="2"/>
        <v>14</v>
      </c>
      <c r="B20" s="111" t="s">
        <v>748</v>
      </c>
      <c r="C20" s="111">
        <v>11105</v>
      </c>
      <c r="D20" s="122">
        <v>2</v>
      </c>
      <c r="E20" s="113">
        <f>ROUND(0.04*521.42,0)*3.53*2</f>
        <v>148.26</v>
      </c>
      <c r="F20" s="114">
        <f>ROUND(0.04*409.08,0)*3.53*2</f>
        <v>112.96</v>
      </c>
      <c r="G20" s="114">
        <f>ROUND(0.04*366.33,0)*3.53*2</f>
        <v>105.89999999999999</v>
      </c>
      <c r="H20" s="114">
        <f>ROUND(0.04*254.17,0)*3.53*2</f>
        <v>70.6</v>
      </c>
      <c r="I20" s="114">
        <f>ROUND(0.04*168.83,0)*3.53*2</f>
        <v>49.419999999999995</v>
      </c>
      <c r="J20" s="114">
        <f>ROUND(0.04*102.5,0)*3.53*2</f>
        <v>28.24</v>
      </c>
      <c r="K20" s="114">
        <f>ROUND(0.04*143.25,0)*3.84*2</f>
        <v>46.08</v>
      </c>
      <c r="L20" s="114">
        <f>ROUND(0.04*235.08,0)*3.84*2</f>
        <v>69.12</v>
      </c>
      <c r="M20" s="240">
        <f>(0.04*314.166)*3.84*2</f>
        <v>96.5117952</v>
      </c>
      <c r="N20" s="260">
        <f>(0.04*430.833)*3.84*2</f>
        <v>132.35189760000003</v>
      </c>
      <c r="O20" s="260"/>
      <c r="P20" s="260"/>
      <c r="Q20" s="115">
        <f t="shared" si="1"/>
        <v>859.4436928</v>
      </c>
      <c r="R20" s="108"/>
      <c r="S20" s="270"/>
      <c r="U20" s="253"/>
    </row>
    <row r="21" spans="1:21" ht="12.75" customHeight="1">
      <c r="A21" s="116">
        <f t="shared" si="2"/>
        <v>15</v>
      </c>
      <c r="B21" s="111" t="s">
        <v>85</v>
      </c>
      <c r="C21" s="111">
        <v>32008</v>
      </c>
      <c r="D21" s="122" t="s">
        <v>586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>
        <f t="shared" si="1"/>
        <v>0</v>
      </c>
      <c r="R21" s="108"/>
      <c r="S21" s="270"/>
      <c r="U21" s="253"/>
    </row>
    <row r="22" spans="1:21" ht="14.25" customHeight="1">
      <c r="A22" s="116">
        <f t="shared" si="2"/>
        <v>16</v>
      </c>
      <c r="B22" s="111" t="s">
        <v>86</v>
      </c>
      <c r="C22" s="111">
        <v>11113</v>
      </c>
      <c r="D22" s="126" t="s">
        <v>583</v>
      </c>
      <c r="E22" s="115">
        <v>85284.8</v>
      </c>
      <c r="F22" s="115">
        <v>91497.6</v>
      </c>
      <c r="G22" s="115">
        <v>66787.59999999999</v>
      </c>
      <c r="H22" s="115">
        <v>67211.2</v>
      </c>
      <c r="I22" s="115">
        <v>67776</v>
      </c>
      <c r="J22" s="115">
        <v>61704.4</v>
      </c>
      <c r="K22" s="115">
        <v>66969.6</v>
      </c>
      <c r="L22" s="115">
        <v>82475.52</v>
      </c>
      <c r="M22" s="115">
        <v>71673.6</v>
      </c>
      <c r="N22" s="115">
        <v>84172.8</v>
      </c>
      <c r="O22" s="115">
        <v>74496</v>
      </c>
      <c r="P22" s="115">
        <v>94771.2</v>
      </c>
      <c r="Q22" s="115">
        <f t="shared" si="1"/>
        <v>914820.3200000001</v>
      </c>
      <c r="R22" s="108"/>
      <c r="S22" s="270"/>
      <c r="U22" s="253"/>
    </row>
    <row r="23" spans="1:21" ht="12.75">
      <c r="A23" s="116">
        <f t="shared" si="2"/>
        <v>17</v>
      </c>
      <c r="B23" s="111" t="s">
        <v>87</v>
      </c>
      <c r="C23" s="111">
        <v>11114</v>
      </c>
      <c r="D23" s="126" t="s">
        <v>583</v>
      </c>
      <c r="E23" s="115">
        <v>78260.1</v>
      </c>
      <c r="F23" s="115">
        <v>87367.5</v>
      </c>
      <c r="G23" s="115">
        <v>64916.7</v>
      </c>
      <c r="H23" s="115">
        <v>66399.3</v>
      </c>
      <c r="I23" s="115">
        <v>65552.1</v>
      </c>
      <c r="J23" s="115">
        <v>65658</v>
      </c>
      <c r="K23" s="115">
        <v>58636.8</v>
      </c>
      <c r="L23" s="115">
        <v>52416</v>
      </c>
      <c r="M23" s="115">
        <v>70617.6</v>
      </c>
      <c r="N23" s="115">
        <v>83865.6</v>
      </c>
      <c r="O23" s="115">
        <v>55120.42</v>
      </c>
      <c r="P23" s="115">
        <v>73015.8</v>
      </c>
      <c r="Q23" s="115">
        <f t="shared" si="1"/>
        <v>821825.92</v>
      </c>
      <c r="R23" s="108"/>
      <c r="S23" s="270"/>
      <c r="U23" s="253"/>
    </row>
    <row r="24" spans="1:21" ht="12.75">
      <c r="A24" s="116">
        <f t="shared" si="2"/>
        <v>18</v>
      </c>
      <c r="B24" s="111" t="s">
        <v>88</v>
      </c>
      <c r="C24" s="111">
        <v>11111</v>
      </c>
      <c r="D24" s="126" t="s">
        <v>583</v>
      </c>
      <c r="E24" s="115">
        <v>88744.2</v>
      </c>
      <c r="F24" s="115">
        <v>100710.9</v>
      </c>
      <c r="G24" s="115">
        <v>75083.09999999999</v>
      </c>
      <c r="H24" s="115">
        <v>73706.4</v>
      </c>
      <c r="I24" s="115">
        <v>74130</v>
      </c>
      <c r="J24" s="115">
        <v>83978.7</v>
      </c>
      <c r="K24" s="115">
        <v>74304</v>
      </c>
      <c r="L24" s="115">
        <v>72460.8</v>
      </c>
      <c r="M24" s="115">
        <v>89164.8</v>
      </c>
      <c r="N24" s="115">
        <v>104601.6</v>
      </c>
      <c r="O24" s="115">
        <v>82022.4</v>
      </c>
      <c r="P24" s="115">
        <v>84096</v>
      </c>
      <c r="Q24" s="115">
        <f t="shared" si="1"/>
        <v>1003002.9000000001</v>
      </c>
      <c r="R24" s="108"/>
      <c r="S24" s="270"/>
      <c r="U24" s="253"/>
    </row>
    <row r="25" spans="1:21" ht="12.75">
      <c r="A25" s="116">
        <f t="shared" si="2"/>
        <v>19</v>
      </c>
      <c r="B25" s="111" t="s">
        <v>89</v>
      </c>
      <c r="C25" s="111">
        <v>11112</v>
      </c>
      <c r="D25" s="126" t="s">
        <v>583</v>
      </c>
      <c r="E25" s="115">
        <v>93192</v>
      </c>
      <c r="F25" s="115">
        <v>102405.3</v>
      </c>
      <c r="G25" s="115">
        <v>76883.4</v>
      </c>
      <c r="H25" s="115">
        <v>74659.5</v>
      </c>
      <c r="I25" s="115">
        <v>70953</v>
      </c>
      <c r="J25" s="115">
        <v>81754.8</v>
      </c>
      <c r="K25" s="115">
        <v>72000</v>
      </c>
      <c r="L25" s="115">
        <v>69811.2</v>
      </c>
      <c r="M25" s="115">
        <v>71424</v>
      </c>
      <c r="N25" s="115">
        <v>117504</v>
      </c>
      <c r="O25" s="115">
        <v>81676.8</v>
      </c>
      <c r="P25" s="115">
        <v>80640</v>
      </c>
      <c r="Q25" s="115">
        <f t="shared" si="1"/>
        <v>992904</v>
      </c>
      <c r="R25" s="108"/>
      <c r="S25" s="270"/>
      <c r="U25" s="253"/>
    </row>
    <row r="26" spans="1:21" ht="12.75">
      <c r="A26" s="116">
        <f t="shared" si="2"/>
        <v>20</v>
      </c>
      <c r="B26" s="111" t="s">
        <v>749</v>
      </c>
      <c r="C26" s="111">
        <v>21629</v>
      </c>
      <c r="D26" s="122">
        <v>2</v>
      </c>
      <c r="E26" s="113">
        <f>ROUND(0.04*521.42,0)*3.53*2</f>
        <v>148.26</v>
      </c>
      <c r="F26" s="114">
        <f>ROUND(0.04*409.08,0)*3.53*2</f>
        <v>112.96</v>
      </c>
      <c r="G26" s="114">
        <f>ROUND(0.04*366.33,0)*3.53*2</f>
        <v>105.89999999999999</v>
      </c>
      <c r="H26" s="114">
        <f>ROUND(0.04*254.17,0)*3.53*2</f>
        <v>70.6</v>
      </c>
      <c r="I26" s="114">
        <f>ROUND(0.04*168.83,0)*3.53*2</f>
        <v>49.419999999999995</v>
      </c>
      <c r="J26" s="114">
        <f>ROUND(0.04*102.5,0)*3.53*2</f>
        <v>28.24</v>
      </c>
      <c r="K26" s="114">
        <f>ROUND(0.04*143.25,0)*3.84*2</f>
        <v>46.08</v>
      </c>
      <c r="L26" s="114">
        <f>(0.04*235.08)*3.84*2</f>
        <v>72.216576</v>
      </c>
      <c r="M26" s="240">
        <f>(0.04*314.166)*3.84*2</f>
        <v>96.5117952</v>
      </c>
      <c r="N26" s="260">
        <f>(0.04*430.833)*3.84*2</f>
        <v>132.35189760000003</v>
      </c>
      <c r="O26" s="260"/>
      <c r="P26" s="260"/>
      <c r="Q26" s="115">
        <f t="shared" si="1"/>
        <v>862.5402687999999</v>
      </c>
      <c r="R26" s="108" t="s">
        <v>1378</v>
      </c>
      <c r="S26" s="270"/>
      <c r="U26" s="253"/>
    </row>
    <row r="27" spans="1:21" ht="12.75">
      <c r="A27" s="116">
        <f t="shared" si="2"/>
        <v>21</v>
      </c>
      <c r="B27" s="111" t="s">
        <v>750</v>
      </c>
      <c r="C27" s="111">
        <v>21625</v>
      </c>
      <c r="D27" s="122">
        <v>2</v>
      </c>
      <c r="E27" s="113">
        <f>ROUND(0.04*521.42,0)*3.53*2</f>
        <v>148.26</v>
      </c>
      <c r="F27" s="114">
        <f>ROUND(0.04*409.08,0)*3.53*2</f>
        <v>112.96</v>
      </c>
      <c r="G27" s="114">
        <f>ROUND(0.04*366.33,0)*3.53*2</f>
        <v>105.89999999999999</v>
      </c>
      <c r="H27" s="114">
        <f>ROUND(0.04*254.17,0)*3.53*2</f>
        <v>70.6</v>
      </c>
      <c r="I27" s="114">
        <f>ROUND(0.04*168.83,0)*3.53*2</f>
        <v>49.419999999999995</v>
      </c>
      <c r="J27" s="114">
        <f>ROUND(0.04*102.5,0)*3.53*2</f>
        <v>28.24</v>
      </c>
      <c r="K27" s="114">
        <f>ROUND(0.04*143.25,0)*3.84*2</f>
        <v>46.08</v>
      </c>
      <c r="L27" s="114">
        <f>(0.04*235.08)*3.84*2</f>
        <v>72.216576</v>
      </c>
      <c r="M27" s="131">
        <f>34.9*2.83*3.84</f>
        <v>379.26527999999996</v>
      </c>
      <c r="N27" s="131">
        <f>34.9*2.83*3.84</f>
        <v>379.26527999999996</v>
      </c>
      <c r="O27" s="131">
        <f>34.9*2.83*3.84</f>
        <v>379.26527999999996</v>
      </c>
      <c r="P27" s="131">
        <f>34.9*2.83*3.84</f>
        <v>379.26527999999996</v>
      </c>
      <c r="Q27" s="115">
        <f t="shared" si="1"/>
        <v>2150.737696</v>
      </c>
      <c r="R27" s="108"/>
      <c r="S27" s="270"/>
      <c r="U27" s="253"/>
    </row>
    <row r="28" spans="1:21" ht="12.75">
      <c r="A28" s="116">
        <f t="shared" si="2"/>
        <v>22</v>
      </c>
      <c r="B28" s="111" t="s">
        <v>634</v>
      </c>
      <c r="C28" s="111">
        <v>21837</v>
      </c>
      <c r="D28" s="229" t="s">
        <v>717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9">
        <v>0</v>
      </c>
      <c r="O28" s="119">
        <v>0</v>
      </c>
      <c r="P28" s="119">
        <v>0</v>
      </c>
      <c r="Q28" s="115">
        <f t="shared" si="1"/>
        <v>0</v>
      </c>
      <c r="R28" s="108"/>
      <c r="S28" s="270"/>
      <c r="U28" s="253"/>
    </row>
    <row r="29" spans="1:21" ht="12.75">
      <c r="A29" s="116">
        <f t="shared" si="2"/>
        <v>23</v>
      </c>
      <c r="B29" s="111" t="s">
        <v>751</v>
      </c>
      <c r="C29" s="111">
        <v>21839</v>
      </c>
      <c r="D29" s="122">
        <v>0</v>
      </c>
      <c r="E29" s="113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>
        <f t="shared" si="1"/>
        <v>0</v>
      </c>
      <c r="R29" s="108"/>
      <c r="S29" s="270"/>
      <c r="U29" s="253"/>
    </row>
    <row r="30" spans="1:21" ht="12.75">
      <c r="A30" s="116">
        <f t="shared" si="2"/>
        <v>24</v>
      </c>
      <c r="B30" s="111" t="s">
        <v>752</v>
      </c>
      <c r="C30" s="111">
        <v>12328</v>
      </c>
      <c r="D30" s="122" t="s">
        <v>585</v>
      </c>
      <c r="E30" s="115">
        <v>1645.17</v>
      </c>
      <c r="F30" s="115">
        <v>1252.23</v>
      </c>
      <c r="G30" s="115">
        <v>1015.59</v>
      </c>
      <c r="H30" s="115">
        <v>1304.8</v>
      </c>
      <c r="I30" s="115">
        <v>530.6</v>
      </c>
      <c r="J30" s="115">
        <v>690.78</v>
      </c>
      <c r="K30" s="115">
        <v>807.53</v>
      </c>
      <c r="L30" s="115">
        <v>993.14</v>
      </c>
      <c r="M30" s="115">
        <v>1132.75</v>
      </c>
      <c r="N30" s="115">
        <v>1708.21</v>
      </c>
      <c r="O30" s="115">
        <v>1894.97</v>
      </c>
      <c r="P30" s="115">
        <v>1775.6</v>
      </c>
      <c r="Q30" s="115">
        <f t="shared" si="1"/>
        <v>14751.369999999999</v>
      </c>
      <c r="R30" s="108"/>
      <c r="S30" s="270"/>
      <c r="U30" s="253"/>
    </row>
    <row r="31" spans="1:21" ht="12.75">
      <c r="A31" s="116">
        <f t="shared" si="2"/>
        <v>25</v>
      </c>
      <c r="B31" s="111" t="s">
        <v>635</v>
      </c>
      <c r="C31" s="121">
        <v>21821</v>
      </c>
      <c r="D31" s="122" t="s">
        <v>717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9">
        <v>0</v>
      </c>
      <c r="O31" s="119">
        <v>0</v>
      </c>
      <c r="P31" s="119">
        <v>0</v>
      </c>
      <c r="Q31" s="115">
        <f t="shared" si="1"/>
        <v>0</v>
      </c>
      <c r="R31" s="256" t="s">
        <v>723</v>
      </c>
      <c r="S31" s="270"/>
      <c r="U31" s="253"/>
    </row>
    <row r="32" spans="1:21" ht="12.75">
      <c r="A32" s="116">
        <f t="shared" si="2"/>
        <v>26</v>
      </c>
      <c r="B32" s="111" t="s">
        <v>636</v>
      </c>
      <c r="C32" s="121">
        <v>21872</v>
      </c>
      <c r="D32" s="122" t="s">
        <v>717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9">
        <v>0</v>
      </c>
      <c r="O32" s="119">
        <v>0</v>
      </c>
      <c r="P32" s="119">
        <v>0</v>
      </c>
      <c r="Q32" s="115">
        <f t="shared" si="1"/>
        <v>0</v>
      </c>
      <c r="R32" s="256" t="s">
        <v>723</v>
      </c>
      <c r="S32" s="270"/>
      <c r="U32" s="253"/>
    </row>
    <row r="33" spans="1:21" ht="12.75">
      <c r="A33" s="116">
        <f t="shared" si="2"/>
        <v>27</v>
      </c>
      <c r="B33" s="111" t="s">
        <v>94</v>
      </c>
      <c r="C33" s="117">
        <v>21873</v>
      </c>
      <c r="D33" s="122">
        <v>2</v>
      </c>
      <c r="E33" s="113">
        <f>ROUND(0.04*521.42,0)*3.53*2</f>
        <v>148.26</v>
      </c>
      <c r="F33" s="114">
        <f>ROUND(0.04*409.08,0)*3.53*2</f>
        <v>112.96</v>
      </c>
      <c r="G33" s="114">
        <f>ROUND(0.04*366.33,0)*3.53*2</f>
        <v>105.89999999999999</v>
      </c>
      <c r="H33" s="114">
        <f>ROUND(0.04*254.17,0)*3.53*2</f>
        <v>70.6</v>
      </c>
      <c r="I33" s="114">
        <f>ROUND(0.04*168.83,0)*3.53*2</f>
        <v>49.419999999999995</v>
      </c>
      <c r="J33" s="114">
        <f>ROUND(0.04*102.5,0)*3.53*2</f>
        <v>28.24</v>
      </c>
      <c r="K33" s="114">
        <f>ROUND(0.04*143.25,0)*3.84*2</f>
        <v>46.08</v>
      </c>
      <c r="L33" s="114">
        <f>(0.04*235.08)*3.84*2</f>
        <v>72.216576</v>
      </c>
      <c r="M33" s="240">
        <f>(0.04*314.166)*3.84*2</f>
        <v>96.5117952</v>
      </c>
      <c r="N33" s="260">
        <f>(0.04*430.833)*3.84*2</f>
        <v>132.35189760000003</v>
      </c>
      <c r="O33" s="260"/>
      <c r="P33" s="260"/>
      <c r="Q33" s="115">
        <f t="shared" si="1"/>
        <v>862.5402687999999</v>
      </c>
      <c r="R33" s="108" t="s">
        <v>1369</v>
      </c>
      <c r="S33" s="270"/>
      <c r="U33" s="253"/>
    </row>
    <row r="34" spans="1:21" ht="12.75">
      <c r="A34" s="116">
        <f t="shared" si="2"/>
        <v>28</v>
      </c>
      <c r="B34" s="111" t="s">
        <v>753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>
        <v>36.11</v>
      </c>
      <c r="M34" s="125"/>
      <c r="N34" s="236"/>
      <c r="O34" s="236"/>
      <c r="P34" s="236"/>
      <c r="Q34" s="115">
        <f t="shared" si="1"/>
        <v>36.11</v>
      </c>
      <c r="R34" s="219" t="s">
        <v>1370</v>
      </c>
      <c r="S34" s="272"/>
      <c r="U34" s="253"/>
    </row>
    <row r="35" spans="1:21" ht="12.75">
      <c r="A35" s="116">
        <f t="shared" si="2"/>
        <v>29</v>
      </c>
      <c r="B35" s="111" t="s">
        <v>754</v>
      </c>
      <c r="C35" s="111">
        <v>21868</v>
      </c>
      <c r="D35" s="122" t="s">
        <v>585</v>
      </c>
      <c r="E35" s="115">
        <v>806.8</v>
      </c>
      <c r="F35" s="115">
        <v>766.29</v>
      </c>
      <c r="G35" s="115">
        <v>1170.9099999999999</v>
      </c>
      <c r="H35" s="115">
        <v>713.92</v>
      </c>
      <c r="I35" s="115">
        <v>774.37</v>
      </c>
      <c r="J35" s="115">
        <v>556.11</v>
      </c>
      <c r="K35" s="115">
        <v>639.4</v>
      </c>
      <c r="L35" s="115">
        <v>825.47</v>
      </c>
      <c r="M35" s="115">
        <v>833.98</v>
      </c>
      <c r="N35" s="115">
        <v>898.84</v>
      </c>
      <c r="O35" s="115">
        <v>834.9</v>
      </c>
      <c r="P35" s="115">
        <v>831.91</v>
      </c>
      <c r="Q35" s="115">
        <f t="shared" si="1"/>
        <v>9652.9</v>
      </c>
      <c r="R35" s="108"/>
      <c r="S35" s="270"/>
      <c r="U35" s="253"/>
    </row>
    <row r="36" spans="1:21" ht="12.75">
      <c r="A36" s="116">
        <f t="shared" si="2"/>
        <v>30</v>
      </c>
      <c r="B36" s="111" t="s">
        <v>755</v>
      </c>
      <c r="C36" s="111">
        <v>21869</v>
      </c>
      <c r="D36" s="122" t="s">
        <v>585</v>
      </c>
      <c r="E36" s="115">
        <v>669.56</v>
      </c>
      <c r="F36" s="115">
        <v>653.9</v>
      </c>
      <c r="G36" s="115">
        <v>816.7199999999999</v>
      </c>
      <c r="H36" s="115">
        <v>1100.74</v>
      </c>
      <c r="I36" s="115">
        <v>1169.7</v>
      </c>
      <c r="J36" s="115">
        <v>671.42</v>
      </c>
      <c r="K36" s="115">
        <v>873.54</v>
      </c>
      <c r="L36" s="115">
        <v>520.49</v>
      </c>
      <c r="M36" s="115">
        <v>518.88</v>
      </c>
      <c r="N36" s="115">
        <v>616.86</v>
      </c>
      <c r="O36" s="115">
        <v>649.98</v>
      </c>
      <c r="P36" s="115">
        <v>632.04</v>
      </c>
      <c r="Q36" s="115">
        <f t="shared" si="1"/>
        <v>8893.829999999998</v>
      </c>
      <c r="R36" s="108"/>
      <c r="S36" s="270"/>
      <c r="U36" s="253"/>
    </row>
    <row r="37" spans="1:21" ht="12.75">
      <c r="A37" s="116">
        <f t="shared" si="2"/>
        <v>31</v>
      </c>
      <c r="B37" s="111" t="s">
        <v>756</v>
      </c>
      <c r="C37" s="111">
        <v>21870</v>
      </c>
      <c r="D37" s="122" t="s">
        <v>585</v>
      </c>
      <c r="E37" s="115">
        <v>560.87</v>
      </c>
      <c r="F37" s="115">
        <v>541.66</v>
      </c>
      <c r="G37" s="115">
        <v>1090.52</v>
      </c>
      <c r="H37" s="115">
        <v>602.89</v>
      </c>
      <c r="I37" s="115">
        <v>622.83</v>
      </c>
      <c r="J37" s="115">
        <v>541.76</v>
      </c>
      <c r="K37" s="115">
        <v>590.87</v>
      </c>
      <c r="L37" s="115">
        <v>777.63</v>
      </c>
      <c r="M37" s="115">
        <v>779.24</v>
      </c>
      <c r="N37" s="115">
        <v>523.71</v>
      </c>
      <c r="O37" s="115">
        <v>499.56</v>
      </c>
      <c r="P37" s="115">
        <v>738.53</v>
      </c>
      <c r="Q37" s="115">
        <f t="shared" si="1"/>
        <v>7870.07</v>
      </c>
      <c r="R37" s="108"/>
      <c r="S37" s="270"/>
      <c r="U37" s="253"/>
    </row>
    <row r="38" spans="1:21" ht="12.75">
      <c r="A38" s="116">
        <f t="shared" si="2"/>
        <v>32</v>
      </c>
      <c r="B38" s="111" t="s">
        <v>600</v>
      </c>
      <c r="C38" s="9">
        <v>21876</v>
      </c>
      <c r="D38" s="12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>
        <f t="shared" si="1"/>
        <v>0</v>
      </c>
      <c r="R38" s="108" t="s">
        <v>281</v>
      </c>
      <c r="S38" s="270"/>
      <c r="U38" s="253"/>
    </row>
    <row r="39" spans="1:21" ht="12.75">
      <c r="A39" s="116">
        <f t="shared" si="2"/>
        <v>33</v>
      </c>
      <c r="B39" s="111" t="s">
        <v>757</v>
      </c>
      <c r="C39" s="111">
        <v>23639</v>
      </c>
      <c r="D39" s="122">
        <v>1</v>
      </c>
      <c r="E39" s="114">
        <f>ROUND(0.04*521.42,0)*3.53</f>
        <v>74.13</v>
      </c>
      <c r="F39" s="114">
        <f>ROUND(0.04*409.08,0)*3.53</f>
        <v>56.48</v>
      </c>
      <c r="G39" s="114">
        <f>ROUND(0.04*366.33,0)*3.53</f>
        <v>52.949999999999996</v>
      </c>
      <c r="H39" s="114">
        <f>ROUND(0.04*254.17,0)*3.53</f>
        <v>35.3</v>
      </c>
      <c r="I39" s="114">
        <f>ROUND(0.04*168.83,0)*3.53</f>
        <v>24.709999999999997</v>
      </c>
      <c r="J39" s="114">
        <v>0</v>
      </c>
      <c r="K39" s="114">
        <v>0</v>
      </c>
      <c r="L39" s="114">
        <v>0</v>
      </c>
      <c r="M39" s="114">
        <v>0</v>
      </c>
      <c r="N39" s="114">
        <v>0</v>
      </c>
      <c r="O39" s="114"/>
      <c r="P39" s="114"/>
      <c r="Q39" s="115">
        <f t="shared" si="1"/>
        <v>243.56999999999996</v>
      </c>
      <c r="R39" s="108"/>
      <c r="S39" s="270"/>
      <c r="U39" s="253"/>
    </row>
    <row r="40" spans="1:21" ht="12.75">
      <c r="A40" s="116">
        <f t="shared" si="2"/>
        <v>34</v>
      </c>
      <c r="B40" s="111" t="s">
        <v>637</v>
      </c>
      <c r="C40" s="121">
        <v>23641</v>
      </c>
      <c r="D40" s="122" t="s">
        <v>717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9"/>
      <c r="P40" s="119"/>
      <c r="Q40" s="115">
        <f t="shared" si="1"/>
        <v>0</v>
      </c>
      <c r="R40" s="108" t="s">
        <v>723</v>
      </c>
      <c r="S40" s="270"/>
      <c r="U40" s="253"/>
    </row>
    <row r="41" spans="1:21" ht="12.75">
      <c r="A41" s="116">
        <f t="shared" si="2"/>
        <v>35</v>
      </c>
      <c r="B41" s="111" t="s">
        <v>758</v>
      </c>
      <c r="C41" s="111">
        <v>11311</v>
      </c>
      <c r="D41" s="122" t="s">
        <v>585</v>
      </c>
      <c r="E41" s="115">
        <v>1542.07</v>
      </c>
      <c r="F41" s="115">
        <v>1677.52</v>
      </c>
      <c r="G41" s="115">
        <v>916.14</v>
      </c>
      <c r="H41" s="115">
        <v>924.17</v>
      </c>
      <c r="I41" s="115">
        <v>892.32</v>
      </c>
      <c r="J41" s="115">
        <v>864.4</v>
      </c>
      <c r="K41" s="115">
        <v>823.63</v>
      </c>
      <c r="L41" s="115">
        <v>1238.09</v>
      </c>
      <c r="M41" s="115">
        <v>1023.5</v>
      </c>
      <c r="N41" s="115">
        <v>1591.14</v>
      </c>
      <c r="O41" s="115">
        <v>2239.51</v>
      </c>
      <c r="P41" s="115">
        <v>2286.2</v>
      </c>
      <c r="Q41" s="115">
        <f t="shared" si="1"/>
        <v>16018.689999999999</v>
      </c>
      <c r="R41" s="108"/>
      <c r="S41" s="270"/>
      <c r="U41" s="253"/>
    </row>
    <row r="42" spans="1:21" ht="12.75">
      <c r="A42" s="116">
        <f t="shared" si="2"/>
        <v>36</v>
      </c>
      <c r="B42" s="111" t="s">
        <v>759</v>
      </c>
      <c r="C42" s="111">
        <v>11313</v>
      </c>
      <c r="D42" s="122" t="s">
        <v>585</v>
      </c>
      <c r="E42" s="115">
        <v>1401.28</v>
      </c>
      <c r="F42" s="115">
        <v>1776.09</v>
      </c>
      <c r="G42" s="115">
        <v>947.21</v>
      </c>
      <c r="H42" s="115">
        <v>698.56</v>
      </c>
      <c r="I42" s="115">
        <v>705.91</v>
      </c>
      <c r="J42" s="115">
        <v>705.91</v>
      </c>
      <c r="K42" s="115">
        <v>896.54</v>
      </c>
      <c r="L42" s="115">
        <v>1180.59</v>
      </c>
      <c r="M42" s="115">
        <v>1039.6</v>
      </c>
      <c r="N42" s="115">
        <v>1540.77</v>
      </c>
      <c r="O42" s="115">
        <v>1409.21</v>
      </c>
      <c r="P42" s="115">
        <v>1547.9</v>
      </c>
      <c r="Q42" s="115">
        <f t="shared" si="1"/>
        <v>13849.569999999998</v>
      </c>
      <c r="R42" s="108"/>
      <c r="S42" s="270"/>
      <c r="U42" s="253"/>
    </row>
    <row r="43" spans="1:21" ht="12.75">
      <c r="A43" s="116">
        <f t="shared" si="2"/>
        <v>37</v>
      </c>
      <c r="B43" s="111" t="s">
        <v>760</v>
      </c>
      <c r="C43" s="111">
        <v>11315</v>
      </c>
      <c r="D43" s="129" t="s">
        <v>588</v>
      </c>
      <c r="E43" s="115">
        <v>2973.19</v>
      </c>
      <c r="F43" s="115">
        <v>3180.85</v>
      </c>
      <c r="G43" s="115">
        <v>2471.51</v>
      </c>
      <c r="H43" s="115">
        <v>2635.54</v>
      </c>
      <c r="I43" s="115">
        <v>2464.89</v>
      </c>
      <c r="J43" s="115">
        <v>2543.24</v>
      </c>
      <c r="K43" s="115">
        <v>2330.82</v>
      </c>
      <c r="L43" s="115">
        <v>2894.55</v>
      </c>
      <c r="M43" s="115">
        <v>2584.05</v>
      </c>
      <c r="N43" s="115">
        <v>3662.98</v>
      </c>
      <c r="O43" s="115">
        <v>3615.14</v>
      </c>
      <c r="P43" s="115">
        <v>3760.5</v>
      </c>
      <c r="Q43" s="115">
        <f t="shared" si="1"/>
        <v>35117.259999999995</v>
      </c>
      <c r="R43" s="108"/>
      <c r="S43" s="270"/>
      <c r="U43" s="253"/>
    </row>
    <row r="44" spans="1:21" ht="12.75">
      <c r="A44" s="116">
        <f t="shared" si="2"/>
        <v>38</v>
      </c>
      <c r="B44" s="111" t="s">
        <v>761</v>
      </c>
      <c r="C44" s="111">
        <v>11116</v>
      </c>
      <c r="D44" s="129" t="s">
        <v>588</v>
      </c>
      <c r="E44" s="115">
        <v>2441.1</v>
      </c>
      <c r="F44" s="115">
        <v>2667.14</v>
      </c>
      <c r="G44" s="115">
        <v>2029.1</v>
      </c>
      <c r="H44" s="115">
        <v>2295.55</v>
      </c>
      <c r="I44" s="115">
        <v>2547.07</v>
      </c>
      <c r="J44" s="115">
        <v>2478.06</v>
      </c>
      <c r="K44" s="115">
        <v>2457.32</v>
      </c>
      <c r="L44" s="115">
        <v>2010.43</v>
      </c>
      <c r="M44" s="115">
        <v>2660.41</v>
      </c>
      <c r="N44" s="115">
        <v>3175.38</v>
      </c>
      <c r="O44" s="115">
        <v>2694.91</v>
      </c>
      <c r="P44" s="115">
        <v>3019.9</v>
      </c>
      <c r="Q44" s="115">
        <f t="shared" si="1"/>
        <v>30476.370000000003</v>
      </c>
      <c r="R44" s="108"/>
      <c r="S44" s="270"/>
      <c r="U44" s="253"/>
    </row>
    <row r="45" spans="1:21" ht="12.75">
      <c r="A45" s="116">
        <f t="shared" si="2"/>
        <v>39</v>
      </c>
      <c r="B45" s="111" t="s">
        <v>762</v>
      </c>
      <c r="C45" s="111">
        <v>11317</v>
      </c>
      <c r="D45" s="122" t="s">
        <v>585</v>
      </c>
      <c r="E45" s="115">
        <v>547.35</v>
      </c>
      <c r="F45" s="115">
        <v>539.57</v>
      </c>
      <c r="G45" s="115">
        <v>570.16</v>
      </c>
      <c r="H45" s="115">
        <v>533.93</v>
      </c>
      <c r="I45" s="115">
        <v>428.74</v>
      </c>
      <c r="J45" s="115">
        <v>377.53</v>
      </c>
      <c r="K45" s="115">
        <v>403.32</v>
      </c>
      <c r="L45" s="115">
        <v>619.85</v>
      </c>
      <c r="M45" s="115">
        <v>520.95</v>
      </c>
      <c r="N45" s="115">
        <v>441.6</v>
      </c>
      <c r="O45" s="115">
        <v>506.46</v>
      </c>
      <c r="P45" s="115">
        <v>490.13</v>
      </c>
      <c r="Q45" s="115">
        <f t="shared" si="1"/>
        <v>5979.59</v>
      </c>
      <c r="R45" s="108"/>
      <c r="S45" s="270"/>
      <c r="U45" s="253"/>
    </row>
    <row r="46" spans="1:21" ht="12.75">
      <c r="A46" s="116">
        <f t="shared" si="2"/>
        <v>40</v>
      </c>
      <c r="B46" s="111" t="s">
        <v>763</v>
      </c>
      <c r="C46" s="111">
        <v>11319</v>
      </c>
      <c r="D46" s="122" t="s">
        <v>585</v>
      </c>
      <c r="E46" s="115">
        <v>680.99</v>
      </c>
      <c r="F46" s="115">
        <v>1106.76</v>
      </c>
      <c r="G46" s="115">
        <v>736.48</v>
      </c>
      <c r="H46" s="115">
        <v>641.94</v>
      </c>
      <c r="I46" s="115">
        <v>422.37</v>
      </c>
      <c r="J46" s="115">
        <v>379.04</v>
      </c>
      <c r="K46" s="115">
        <v>403.88</v>
      </c>
      <c r="L46" s="115">
        <v>451.26</v>
      </c>
      <c r="M46" s="115">
        <v>431.25</v>
      </c>
      <c r="N46" s="115">
        <v>602.6</v>
      </c>
      <c r="O46" s="115">
        <v>509.22</v>
      </c>
      <c r="P46" s="115">
        <v>489.9</v>
      </c>
      <c r="Q46" s="115">
        <f t="shared" si="1"/>
        <v>6855.6900000000005</v>
      </c>
      <c r="R46" s="108"/>
      <c r="S46" s="270"/>
      <c r="U46" s="253"/>
    </row>
    <row r="47" spans="1:21" ht="12.75">
      <c r="A47" s="116">
        <f t="shared" si="2"/>
        <v>41</v>
      </c>
      <c r="B47" s="111" t="s">
        <v>764</v>
      </c>
      <c r="C47" s="111">
        <v>11120</v>
      </c>
      <c r="D47" s="122" t="s">
        <v>585</v>
      </c>
      <c r="E47" s="115">
        <v>1642.3</v>
      </c>
      <c r="F47" s="115">
        <v>1928.16</v>
      </c>
      <c r="G47" s="115">
        <v>1629.66</v>
      </c>
      <c r="H47" s="115">
        <v>1221.01</v>
      </c>
      <c r="I47" s="115">
        <v>1077.18</v>
      </c>
      <c r="J47" s="115">
        <v>912.35</v>
      </c>
      <c r="K47" s="115">
        <v>1173.46</v>
      </c>
      <c r="L47" s="115">
        <v>726.8</v>
      </c>
      <c r="M47" s="115">
        <v>979.34</v>
      </c>
      <c r="N47" s="115">
        <v>800.4</v>
      </c>
      <c r="O47" s="115">
        <v>1697.63</v>
      </c>
      <c r="P47" s="115">
        <v>1697.63</v>
      </c>
      <c r="Q47" s="115">
        <f t="shared" si="1"/>
        <v>15485.919999999998</v>
      </c>
      <c r="R47" s="108"/>
      <c r="S47" s="270"/>
      <c r="U47" s="253"/>
    </row>
    <row r="48" spans="1:21" ht="12.75">
      <c r="A48" s="116">
        <f t="shared" si="2"/>
        <v>42</v>
      </c>
      <c r="B48" s="111" t="s">
        <v>765</v>
      </c>
      <c r="C48" s="111">
        <v>11321</v>
      </c>
      <c r="D48" s="122" t="s">
        <v>585</v>
      </c>
      <c r="E48" s="115">
        <v>1801.37</v>
      </c>
      <c r="F48" s="115">
        <v>1746.18</v>
      </c>
      <c r="G48" s="115">
        <v>1284.91</v>
      </c>
      <c r="H48" s="115">
        <v>1291.48</v>
      </c>
      <c r="I48" s="115">
        <v>1189.21</v>
      </c>
      <c r="J48" s="115">
        <v>1118.01</v>
      </c>
      <c r="K48" s="115">
        <v>1091.58</v>
      </c>
      <c r="L48" s="115">
        <v>1232.57</v>
      </c>
      <c r="M48" s="115">
        <v>1160.35</v>
      </c>
      <c r="N48" s="115">
        <v>1648.64</v>
      </c>
      <c r="O48" s="115">
        <v>1625.64</v>
      </c>
      <c r="P48" s="115">
        <v>2915.48</v>
      </c>
      <c r="Q48" s="115">
        <f t="shared" si="1"/>
        <v>18105.42</v>
      </c>
      <c r="R48" s="108"/>
      <c r="S48" s="270"/>
      <c r="U48" s="253"/>
    </row>
    <row r="49" spans="1:21" ht="12.75">
      <c r="A49" s="116">
        <f t="shared" si="2"/>
        <v>43</v>
      </c>
      <c r="B49" s="111" t="s">
        <v>766</v>
      </c>
      <c r="C49" s="111">
        <v>11122</v>
      </c>
      <c r="D49" s="122" t="s">
        <v>585</v>
      </c>
      <c r="E49" s="115">
        <v>2435.7</v>
      </c>
      <c r="F49" s="115">
        <v>2436.7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142.08</v>
      </c>
      <c r="P49" s="115">
        <v>134.4</v>
      </c>
      <c r="Q49" s="115">
        <f t="shared" si="1"/>
        <v>5148.879999999999</v>
      </c>
      <c r="R49" s="108"/>
      <c r="S49" s="270"/>
      <c r="U49" s="253"/>
    </row>
    <row r="50" spans="1:21" ht="12.75">
      <c r="A50" s="116">
        <f t="shared" si="2"/>
        <v>44</v>
      </c>
      <c r="B50" s="111" t="s">
        <v>767</v>
      </c>
      <c r="C50" s="111">
        <v>11323</v>
      </c>
      <c r="D50" s="130" t="s">
        <v>768</v>
      </c>
      <c r="E50" s="131">
        <f aca="true" t="shared" si="3" ref="E50:J50">135.3*2.83*3.53</f>
        <v>1351.6334700000002</v>
      </c>
      <c r="F50" s="131">
        <f t="shared" si="3"/>
        <v>1351.6334700000002</v>
      </c>
      <c r="G50" s="131">
        <f t="shared" si="3"/>
        <v>1351.6334700000002</v>
      </c>
      <c r="H50" s="131">
        <f t="shared" si="3"/>
        <v>1351.6334700000002</v>
      </c>
      <c r="I50" s="131">
        <f t="shared" si="3"/>
        <v>1351.6334700000002</v>
      </c>
      <c r="J50" s="131">
        <f t="shared" si="3"/>
        <v>1351.6334700000002</v>
      </c>
      <c r="K50" s="131">
        <f>135.3*2.83*3.84</f>
        <v>1470.3321600000002</v>
      </c>
      <c r="L50" s="131">
        <f>135.3*2.83*3.84</f>
        <v>1470.3321600000002</v>
      </c>
      <c r="M50" s="131">
        <f>135.3*2.83*3.84</f>
        <v>1470.3321600000002</v>
      </c>
      <c r="N50" s="131">
        <f>135.3*2.83*3.84</f>
        <v>1470.3321600000002</v>
      </c>
      <c r="O50" s="131">
        <f>135.3*2.83*3.84</f>
        <v>1470.3321600000002</v>
      </c>
      <c r="P50" s="131">
        <f>135.3*3.22*3.84</f>
        <v>1672.9574400000001</v>
      </c>
      <c r="Q50" s="115">
        <f t="shared" si="1"/>
        <v>17134.41906</v>
      </c>
      <c r="R50" s="108"/>
      <c r="S50" s="271"/>
      <c r="U50" s="253"/>
    </row>
    <row r="51" spans="1:21" ht="12.75">
      <c r="A51" s="116">
        <f t="shared" si="2"/>
        <v>45</v>
      </c>
      <c r="B51" s="111" t="s">
        <v>769</v>
      </c>
      <c r="C51" s="111">
        <v>11325</v>
      </c>
      <c r="D51" s="122" t="s">
        <v>585</v>
      </c>
      <c r="E51" s="115">
        <v>346.94</v>
      </c>
      <c r="F51" s="115">
        <v>349.13</v>
      </c>
      <c r="G51" s="115">
        <v>354.09</v>
      </c>
      <c r="H51" s="115">
        <v>932.66</v>
      </c>
      <c r="I51" s="115">
        <v>871.53</v>
      </c>
      <c r="J51" s="115">
        <v>280.22</v>
      </c>
      <c r="K51" s="115">
        <v>735.77</v>
      </c>
      <c r="L51" s="115">
        <v>789.36</v>
      </c>
      <c r="M51" s="115">
        <v>633.88</v>
      </c>
      <c r="N51" s="115">
        <v>507.15</v>
      </c>
      <c r="O51" s="115">
        <v>618.7</v>
      </c>
      <c r="P51" s="115">
        <v>1198.53</v>
      </c>
      <c r="Q51" s="115">
        <f t="shared" si="1"/>
        <v>7617.959999999999</v>
      </c>
      <c r="R51" s="108"/>
      <c r="S51" s="270"/>
      <c r="U51" s="253"/>
    </row>
    <row r="52" spans="1:21" ht="12.75">
      <c r="A52" s="116">
        <f t="shared" si="2"/>
        <v>46</v>
      </c>
      <c r="B52" s="111" t="s">
        <v>770</v>
      </c>
      <c r="C52" s="111">
        <v>11327</v>
      </c>
      <c r="D52" s="122" t="s">
        <v>585</v>
      </c>
      <c r="E52" s="115">
        <v>358.27</v>
      </c>
      <c r="F52" s="115">
        <v>435.06</v>
      </c>
      <c r="G52" s="115">
        <v>376.12</v>
      </c>
      <c r="H52" s="115">
        <v>331.38</v>
      </c>
      <c r="I52" s="115">
        <v>413.86</v>
      </c>
      <c r="J52" s="115">
        <v>432.39</v>
      </c>
      <c r="K52" s="115">
        <v>370.07</v>
      </c>
      <c r="L52" s="115">
        <v>462.3</v>
      </c>
      <c r="M52" s="115">
        <v>767.05</v>
      </c>
      <c r="N52" s="115">
        <v>555.68</v>
      </c>
      <c r="O52" s="115">
        <v>512.67</v>
      </c>
      <c r="P52" s="115">
        <v>610.88</v>
      </c>
      <c r="Q52" s="115">
        <f t="shared" si="1"/>
        <v>5625.7300000000005</v>
      </c>
      <c r="R52" s="108"/>
      <c r="S52" s="270"/>
      <c r="U52" s="253"/>
    </row>
    <row r="53" spans="1:21" ht="12.75">
      <c r="A53" s="116">
        <f t="shared" si="2"/>
        <v>47</v>
      </c>
      <c r="B53" s="111" t="s">
        <v>771</v>
      </c>
      <c r="C53" s="111">
        <v>11128</v>
      </c>
      <c r="D53" s="122" t="s">
        <v>585</v>
      </c>
      <c r="E53" s="115">
        <v>498.23</v>
      </c>
      <c r="F53" s="115">
        <v>557.95</v>
      </c>
      <c r="G53" s="115">
        <v>438.56</v>
      </c>
      <c r="H53" s="115">
        <v>518.9</v>
      </c>
      <c r="I53" s="115">
        <v>447.12</v>
      </c>
      <c r="J53" s="115">
        <v>450.61</v>
      </c>
      <c r="K53" s="115">
        <v>509.68</v>
      </c>
      <c r="L53" s="115">
        <v>566.72</v>
      </c>
      <c r="M53" s="115">
        <v>531.76</v>
      </c>
      <c r="N53" s="115">
        <v>523.94</v>
      </c>
      <c r="O53" s="115">
        <v>474.26</v>
      </c>
      <c r="P53" s="115">
        <v>486.68</v>
      </c>
      <c r="Q53" s="115">
        <f t="shared" si="1"/>
        <v>6004.41</v>
      </c>
      <c r="R53" s="108"/>
      <c r="S53" s="270"/>
      <c r="U53" s="253"/>
    </row>
    <row r="54" spans="1:21" ht="12.75">
      <c r="A54" s="116">
        <f t="shared" si="2"/>
        <v>48</v>
      </c>
      <c r="B54" s="111" t="s">
        <v>772</v>
      </c>
      <c r="C54" s="111">
        <v>11329</v>
      </c>
      <c r="D54" s="122" t="s">
        <v>585</v>
      </c>
      <c r="E54" s="115">
        <v>580.81</v>
      </c>
      <c r="F54" s="115">
        <v>548.86</v>
      </c>
      <c r="G54" s="115">
        <v>482.81999999999994</v>
      </c>
      <c r="H54" s="115">
        <v>431.81</v>
      </c>
      <c r="I54" s="115">
        <v>334.45</v>
      </c>
      <c r="J54" s="115">
        <v>234.8</v>
      </c>
      <c r="K54" s="115">
        <v>266.11</v>
      </c>
      <c r="L54" s="115">
        <v>382.72</v>
      </c>
      <c r="M54" s="115">
        <v>364.78</v>
      </c>
      <c r="N54" s="115">
        <v>737.84</v>
      </c>
      <c r="O54" s="115">
        <v>591.56</v>
      </c>
      <c r="P54" s="115">
        <v>575.23</v>
      </c>
      <c r="Q54" s="115">
        <f t="shared" si="1"/>
        <v>5531.789999999999</v>
      </c>
      <c r="R54" s="108"/>
      <c r="S54" s="270"/>
      <c r="U54" s="253"/>
    </row>
    <row r="55" spans="1:21" ht="12.75">
      <c r="A55" s="116">
        <f t="shared" si="2"/>
        <v>49</v>
      </c>
      <c r="B55" s="111" t="s">
        <v>773</v>
      </c>
      <c r="C55" s="111">
        <v>11203</v>
      </c>
      <c r="D55" s="122" t="s">
        <v>585</v>
      </c>
      <c r="E55" s="115">
        <v>1746.08</v>
      </c>
      <c r="F55" s="115">
        <v>1702.9</v>
      </c>
      <c r="G55" s="115">
        <v>1244.6</v>
      </c>
      <c r="H55" s="115">
        <v>1192.18</v>
      </c>
      <c r="I55" s="115">
        <v>933.56</v>
      </c>
      <c r="J55" s="115">
        <v>914.1</v>
      </c>
      <c r="K55" s="115">
        <v>853.76</v>
      </c>
      <c r="L55" s="115">
        <v>1247.06</v>
      </c>
      <c r="M55" s="115">
        <v>1427.38</v>
      </c>
      <c r="N55" s="115">
        <v>2141.76</v>
      </c>
      <c r="O55" s="115">
        <v>1157.36</v>
      </c>
      <c r="P55" s="115">
        <v>3239.09</v>
      </c>
      <c r="Q55" s="115">
        <f t="shared" si="1"/>
        <v>17799.83</v>
      </c>
      <c r="R55" s="108"/>
      <c r="S55" s="270"/>
      <c r="U55" s="253"/>
    </row>
    <row r="56" spans="1:21" ht="12.75">
      <c r="A56" s="116">
        <f t="shared" si="2"/>
        <v>50</v>
      </c>
      <c r="B56" s="111" t="s">
        <v>774</v>
      </c>
      <c r="C56" s="111">
        <v>11130</v>
      </c>
      <c r="D56" s="122">
        <v>14</v>
      </c>
      <c r="E56" s="113">
        <f>ROUND(0.04*521.42,0)*3.53*14</f>
        <v>1037.82</v>
      </c>
      <c r="F56" s="114">
        <f>ROUND(0.04*409.08,0)*3.53*14</f>
        <v>790.7199999999999</v>
      </c>
      <c r="G56" s="114">
        <f>ROUND(0.04*366.33,0)*3.53*14</f>
        <v>741.3</v>
      </c>
      <c r="H56" s="114">
        <f>ROUND(0.04*254.17,0)*3.53*14</f>
        <v>494.19999999999993</v>
      </c>
      <c r="I56" s="114">
        <f>ROUND(0.04*168.83,0)*3.53*14</f>
        <v>345.93999999999994</v>
      </c>
      <c r="J56" s="114">
        <f>ROUND(0.04*102.5,0)*3.53*14</f>
        <v>197.67999999999998</v>
      </c>
      <c r="K56" s="114">
        <f>ROUND(0.04*143.25,0)*3.84*14</f>
        <v>322.56</v>
      </c>
      <c r="L56" s="114">
        <f>(0.04*235.08)*3.84*14</f>
        <v>505.516032</v>
      </c>
      <c r="M56" s="114">
        <f>(0.04*314.166)*3.84*14</f>
        <v>675.5825663999999</v>
      </c>
      <c r="N56" s="261">
        <f>(0.04*430.833)*3.84*14</f>
        <v>926.4632832000002</v>
      </c>
      <c r="O56" s="261"/>
      <c r="P56" s="261"/>
      <c r="Q56" s="115">
        <f t="shared" si="1"/>
        <v>6037.7818816</v>
      </c>
      <c r="R56" s="108"/>
      <c r="S56" s="270"/>
      <c r="U56" s="253"/>
    </row>
    <row r="57" spans="1:21" ht="12.75">
      <c r="A57" s="116">
        <f t="shared" si="2"/>
        <v>51</v>
      </c>
      <c r="B57" s="111" t="s">
        <v>775</v>
      </c>
      <c r="C57" s="111">
        <v>11132</v>
      </c>
      <c r="D57" s="122">
        <v>14</v>
      </c>
      <c r="E57" s="113">
        <f>ROUND(0.04*521.42,0)*3.53*14</f>
        <v>1037.82</v>
      </c>
      <c r="F57" s="114">
        <f>ROUND(0.04*409.08,0)*3.53*14</f>
        <v>790.7199999999999</v>
      </c>
      <c r="G57" s="114">
        <f>ROUND(0.04*366.33,0)*3.53*14</f>
        <v>741.3</v>
      </c>
      <c r="H57" s="114">
        <f>ROUND(0.04*254.17,0)*3.53*14</f>
        <v>494.19999999999993</v>
      </c>
      <c r="I57" s="114">
        <f>ROUND(0.04*168.83,0)*3.53*14</f>
        <v>345.93999999999994</v>
      </c>
      <c r="J57" s="114">
        <f>ROUND(0.04*102.5,0)*3.53*14</f>
        <v>197.67999999999998</v>
      </c>
      <c r="K57" s="114">
        <f>ROUND(0.04*143.25,0)*3.84*14</f>
        <v>322.56</v>
      </c>
      <c r="L57" s="114">
        <f>(0.04*235.08)*3.84*14</f>
        <v>505.516032</v>
      </c>
      <c r="M57" s="114">
        <f>(0.04*314.166)*3.84*14</f>
        <v>675.5825663999999</v>
      </c>
      <c r="N57" s="261">
        <f>(0.04*430.833)*3.84*14</f>
        <v>926.4632832000002</v>
      </c>
      <c r="O57" s="261"/>
      <c r="P57" s="261"/>
      <c r="Q57" s="115">
        <f t="shared" si="1"/>
        <v>6037.7818816</v>
      </c>
      <c r="R57" s="108"/>
      <c r="S57" s="270"/>
      <c r="U57" s="253"/>
    </row>
    <row r="58" spans="1:21" ht="12.75">
      <c r="A58" s="116">
        <f t="shared" si="2"/>
        <v>52</v>
      </c>
      <c r="B58" s="111" t="s">
        <v>776</v>
      </c>
      <c r="C58" s="111">
        <v>11333</v>
      </c>
      <c r="D58" s="132" t="s">
        <v>585</v>
      </c>
      <c r="E58" s="114">
        <v>295.68</v>
      </c>
      <c r="F58" s="114">
        <v>458.45</v>
      </c>
      <c r="G58" s="114">
        <v>353.26</v>
      </c>
      <c r="H58" s="115">
        <v>263.73</v>
      </c>
      <c r="I58" s="115">
        <v>255.9</v>
      </c>
      <c r="J58" s="115">
        <v>251.62</v>
      </c>
      <c r="K58" s="115">
        <v>294.17</v>
      </c>
      <c r="L58" s="115">
        <v>300.38</v>
      </c>
      <c r="M58" s="115">
        <v>476.56</v>
      </c>
      <c r="N58" s="115">
        <v>622.38</v>
      </c>
      <c r="O58" s="115">
        <v>528.54</v>
      </c>
      <c r="P58" s="115">
        <v>537.05</v>
      </c>
      <c r="Q58" s="115">
        <f t="shared" si="1"/>
        <v>4637.72</v>
      </c>
      <c r="R58" s="108"/>
      <c r="S58" s="270"/>
      <c r="U58" s="253"/>
    </row>
    <row r="59" spans="1:21" ht="12.75">
      <c r="A59" s="116">
        <f t="shared" si="2"/>
        <v>53</v>
      </c>
      <c r="B59" s="111" t="s">
        <v>119</v>
      </c>
      <c r="C59" s="121">
        <v>32034</v>
      </c>
      <c r="D59" s="126" t="s">
        <v>583</v>
      </c>
      <c r="E59" s="115">
        <v>19393.82</v>
      </c>
      <c r="F59" s="115">
        <v>20678.74</v>
      </c>
      <c r="G59" s="115">
        <v>15821.46</v>
      </c>
      <c r="H59" s="115">
        <v>16883.99</v>
      </c>
      <c r="I59" s="115">
        <v>18359.53</v>
      </c>
      <c r="J59" s="115">
        <v>19351.46</v>
      </c>
      <c r="K59" s="115">
        <v>17529.6</v>
      </c>
      <c r="L59" s="115">
        <v>16577.28</v>
      </c>
      <c r="M59" s="115">
        <v>16953.6</v>
      </c>
      <c r="N59" s="115">
        <v>16354.56</v>
      </c>
      <c r="O59" s="99">
        <v>29326.08</v>
      </c>
      <c r="P59" s="99">
        <v>20386.56</v>
      </c>
      <c r="Q59" s="115">
        <f>E59+F59+G59+H59+I59+J59+K59+L59+M59+N59+O60+P59</f>
        <v>199116.30000000002</v>
      </c>
      <c r="R59" s="108"/>
      <c r="S59" s="270"/>
      <c r="U59" s="253"/>
    </row>
    <row r="60" spans="1:21" ht="12.75">
      <c r="A60" s="116">
        <f t="shared" si="2"/>
        <v>54</v>
      </c>
      <c r="B60" s="111" t="s">
        <v>777</v>
      </c>
      <c r="C60" s="111">
        <v>11335</v>
      </c>
      <c r="D60" s="122" t="s">
        <v>585</v>
      </c>
      <c r="E60" s="115">
        <v>658.28</v>
      </c>
      <c r="F60" s="115">
        <v>570.94</v>
      </c>
      <c r="G60" s="115">
        <v>439.49</v>
      </c>
      <c r="H60" s="115">
        <v>463.03</v>
      </c>
      <c r="I60" s="115">
        <v>436.14</v>
      </c>
      <c r="J60" s="115">
        <v>439.79</v>
      </c>
      <c r="K60" s="115">
        <v>487.6</v>
      </c>
      <c r="L60" s="115">
        <v>449.65</v>
      </c>
      <c r="M60" s="115">
        <v>579.37</v>
      </c>
      <c r="N60" s="115">
        <v>684.25</v>
      </c>
      <c r="O60" s="115">
        <v>825.7</v>
      </c>
      <c r="P60" s="115">
        <v>878.6</v>
      </c>
      <c r="Q60" s="115">
        <f>E60+F60+G60+H60+I60+J60+K60+L60+M60+N60+O61+P60</f>
        <v>8304.8</v>
      </c>
      <c r="R60" s="108"/>
      <c r="S60" s="270"/>
      <c r="U60" s="253"/>
    </row>
    <row r="61" spans="1:21" ht="12.75">
      <c r="A61" s="116">
        <f t="shared" si="2"/>
        <v>55</v>
      </c>
      <c r="B61" s="111" t="s">
        <v>778</v>
      </c>
      <c r="C61" s="111">
        <v>11136</v>
      </c>
      <c r="D61" s="122" t="s">
        <v>585</v>
      </c>
      <c r="E61" s="115">
        <v>2290.69</v>
      </c>
      <c r="F61" s="115">
        <v>2082.07</v>
      </c>
      <c r="G61" s="115">
        <v>1750.74</v>
      </c>
      <c r="H61" s="115">
        <v>1624.4</v>
      </c>
      <c r="I61" s="115">
        <v>1461.78</v>
      </c>
      <c r="J61" s="115">
        <v>1559.97</v>
      </c>
      <c r="K61" s="115">
        <v>1341.36</v>
      </c>
      <c r="L61" s="115">
        <v>1217.62</v>
      </c>
      <c r="M61" s="115">
        <v>1730.29</v>
      </c>
      <c r="N61" s="115">
        <v>2270.56</v>
      </c>
      <c r="O61" s="115">
        <v>2217.66</v>
      </c>
      <c r="P61" s="115">
        <v>2679.04</v>
      </c>
      <c r="Q61" s="115" t="e">
        <f>E61+F61+G61+H61+I61+J61+K61+L61+M61+N61+#REF!+P61</f>
        <v>#REF!</v>
      </c>
      <c r="R61" s="108"/>
      <c r="S61" s="270"/>
      <c r="U61" s="253"/>
    </row>
    <row r="62" spans="1:21" ht="12.75">
      <c r="A62" s="116">
        <f t="shared" si="2"/>
        <v>56</v>
      </c>
      <c r="B62" s="111" t="s">
        <v>779</v>
      </c>
      <c r="C62" s="111">
        <v>11467</v>
      </c>
      <c r="D62" s="122" t="s">
        <v>585</v>
      </c>
      <c r="E62" s="115">
        <v>135.73</v>
      </c>
      <c r="F62" s="115">
        <v>119.44</v>
      </c>
      <c r="G62" s="115">
        <v>454.84999999999997</v>
      </c>
      <c r="H62" s="115">
        <v>1160.74</v>
      </c>
      <c r="I62" s="115">
        <v>1757.21</v>
      </c>
      <c r="J62" s="115">
        <v>2150.25</v>
      </c>
      <c r="K62" s="115">
        <v>1772.38</v>
      </c>
      <c r="L62" s="115">
        <v>1164.72</v>
      </c>
      <c r="M62" s="115">
        <v>1276.5</v>
      </c>
      <c r="N62" s="115">
        <v>2913.87</v>
      </c>
      <c r="O62" s="115">
        <v>315.79</v>
      </c>
      <c r="P62" s="115">
        <v>125.35</v>
      </c>
      <c r="Q62" s="115">
        <f t="shared" si="1"/>
        <v>13346.83</v>
      </c>
      <c r="R62" s="108"/>
      <c r="S62" s="270"/>
      <c r="U62" s="253"/>
    </row>
    <row r="63" spans="1:21" ht="12.75">
      <c r="A63" s="116">
        <f t="shared" si="2"/>
        <v>57</v>
      </c>
      <c r="B63" s="111" t="s">
        <v>780</v>
      </c>
      <c r="C63" s="111">
        <v>11138</v>
      </c>
      <c r="D63" s="122" t="s">
        <v>585</v>
      </c>
      <c r="E63" s="115">
        <v>136.41</v>
      </c>
      <c r="F63" s="115">
        <v>110.15</v>
      </c>
      <c r="G63" s="115">
        <v>144.92</v>
      </c>
      <c r="H63" s="115">
        <v>142.78</v>
      </c>
      <c r="I63" s="115">
        <v>98.04</v>
      </c>
      <c r="J63" s="115">
        <v>157.71</v>
      </c>
      <c r="K63" s="115">
        <v>111.55</v>
      </c>
      <c r="L63" s="115">
        <v>81.88</v>
      </c>
      <c r="M63" s="115">
        <v>124.89</v>
      </c>
      <c r="N63" s="115">
        <v>160.77</v>
      </c>
      <c r="O63" s="115">
        <v>123.28</v>
      </c>
      <c r="P63" s="115">
        <v>140.3</v>
      </c>
      <c r="Q63" s="115">
        <f t="shared" si="1"/>
        <v>1532.6799999999998</v>
      </c>
      <c r="R63" s="108"/>
      <c r="S63" s="270"/>
      <c r="U63" s="253"/>
    </row>
    <row r="64" spans="1:21" ht="12.75">
      <c r="A64" s="116">
        <f t="shared" si="2"/>
        <v>58</v>
      </c>
      <c r="B64" s="111" t="s">
        <v>781</v>
      </c>
      <c r="C64" s="111">
        <v>11469</v>
      </c>
      <c r="D64" s="122">
        <v>2</v>
      </c>
      <c r="E64" s="113">
        <f>ROUND(0.04*521.42,0)*3.53*2</f>
        <v>148.26</v>
      </c>
      <c r="F64" s="114">
        <f>ROUND(0.04*409.08,0)*3.53*2</f>
        <v>112.96</v>
      </c>
      <c r="G64" s="114">
        <f>ROUND(0.04*366.33,0)*3.53*2</f>
        <v>105.89999999999999</v>
      </c>
      <c r="H64" s="114">
        <f>ROUND(0.04*254.17,0)*3.53*2</f>
        <v>70.6</v>
      </c>
      <c r="I64" s="114">
        <f>ROUND(0.04*168.83,0)*3.53*2</f>
        <v>49.419999999999995</v>
      </c>
      <c r="J64" s="114">
        <f>ROUND(0.04*102.5,0)*3.53*2</f>
        <v>28.24</v>
      </c>
      <c r="K64" s="114">
        <f>ROUND(0.04*143.25,0)*3.84*2</f>
        <v>46.08</v>
      </c>
      <c r="L64" s="114">
        <f>(0.04*235.08)*3.84*2</f>
        <v>72.216576</v>
      </c>
      <c r="M64" s="240">
        <f>(0.04*314.166)*3.84*2</f>
        <v>96.5117952</v>
      </c>
      <c r="N64" s="260">
        <f>(0.04*430.833)*3.84*2</f>
        <v>132.35189760000003</v>
      </c>
      <c r="O64" s="260"/>
      <c r="P64" s="260"/>
      <c r="Q64" s="115">
        <f t="shared" si="1"/>
        <v>862.5402687999999</v>
      </c>
      <c r="R64" s="108"/>
      <c r="S64" s="270"/>
      <c r="U64" s="253"/>
    </row>
    <row r="65" spans="1:21" ht="12.75">
      <c r="A65" s="116">
        <f t="shared" si="2"/>
        <v>59</v>
      </c>
      <c r="B65" s="111" t="s">
        <v>782</v>
      </c>
      <c r="C65" s="111">
        <v>11140</v>
      </c>
      <c r="D65" s="122" t="s">
        <v>585</v>
      </c>
      <c r="E65" s="115">
        <v>392.61</v>
      </c>
      <c r="F65" s="115">
        <v>393.61</v>
      </c>
      <c r="G65" s="115">
        <v>0</v>
      </c>
      <c r="H65" s="115">
        <v>392.61</v>
      </c>
      <c r="I65" s="115">
        <v>392.61</v>
      </c>
      <c r="J65" s="115">
        <v>489.9</v>
      </c>
      <c r="K65" s="115">
        <v>428.49</v>
      </c>
      <c r="L65" s="115">
        <v>465.52</v>
      </c>
      <c r="M65" s="115">
        <v>518.42</v>
      </c>
      <c r="N65" s="115">
        <v>518.42</v>
      </c>
      <c r="O65" s="115">
        <v>518.42</v>
      </c>
      <c r="P65" s="115">
        <v>518.42</v>
      </c>
      <c r="Q65" s="115">
        <f t="shared" si="1"/>
        <v>5029.03</v>
      </c>
      <c r="R65" s="108"/>
      <c r="S65" s="270"/>
      <c r="U65" s="253"/>
    </row>
    <row r="66" spans="1:21" ht="12.75">
      <c r="A66" s="116">
        <f t="shared" si="2"/>
        <v>60</v>
      </c>
      <c r="B66" s="111" t="s">
        <v>783</v>
      </c>
      <c r="C66" s="111">
        <v>11102</v>
      </c>
      <c r="D66" s="122" t="s">
        <v>585</v>
      </c>
      <c r="E66" s="115">
        <v>1079.57</v>
      </c>
      <c r="F66" s="115">
        <v>760.98</v>
      </c>
      <c r="G66" s="115">
        <v>434.86</v>
      </c>
      <c r="H66" s="115">
        <v>390.07</v>
      </c>
      <c r="I66" s="115">
        <v>330.45</v>
      </c>
      <c r="J66" s="115">
        <v>440.5</v>
      </c>
      <c r="K66" s="115">
        <v>469.2</v>
      </c>
      <c r="L66" s="115">
        <v>472.42</v>
      </c>
      <c r="M66" s="115">
        <v>267.03</v>
      </c>
      <c r="N66" s="115">
        <v>561.2</v>
      </c>
      <c r="O66" s="115">
        <v>1127.23</v>
      </c>
      <c r="P66" s="115">
        <v>606.51</v>
      </c>
      <c r="Q66" s="115">
        <f t="shared" si="1"/>
        <v>6940.019999999999</v>
      </c>
      <c r="R66" s="108"/>
      <c r="S66" s="270"/>
      <c r="U66" s="253"/>
    </row>
    <row r="67" spans="1:21" ht="12.75">
      <c r="A67" s="116">
        <f t="shared" si="2"/>
        <v>61</v>
      </c>
      <c r="B67" s="111" t="s">
        <v>784</v>
      </c>
      <c r="C67" s="111">
        <v>11142</v>
      </c>
      <c r="D67" s="122" t="s">
        <v>585</v>
      </c>
      <c r="E67" s="115">
        <v>351.12</v>
      </c>
      <c r="F67" s="115">
        <v>477.66</v>
      </c>
      <c r="G67" s="115">
        <v>289.36</v>
      </c>
      <c r="H67" s="115">
        <v>290.09</v>
      </c>
      <c r="I67" s="115">
        <v>225.31</v>
      </c>
      <c r="J67" s="115">
        <v>218.21</v>
      </c>
      <c r="K67" s="115">
        <v>249.09</v>
      </c>
      <c r="L67" s="115">
        <v>227.24</v>
      </c>
      <c r="M67" s="115">
        <v>289.57</v>
      </c>
      <c r="N67" s="115">
        <v>344.77</v>
      </c>
      <c r="O67" s="115">
        <v>259.21</v>
      </c>
      <c r="P67" s="115">
        <v>284.05</v>
      </c>
      <c r="Q67" s="115">
        <f t="shared" si="1"/>
        <v>3505.6800000000003</v>
      </c>
      <c r="R67" s="108"/>
      <c r="S67" s="270"/>
      <c r="U67" s="253"/>
    </row>
    <row r="68" spans="1:21" ht="12.75">
      <c r="A68" s="116">
        <f t="shared" si="2"/>
        <v>62</v>
      </c>
      <c r="B68" s="111" t="s">
        <v>785</v>
      </c>
      <c r="C68" s="111">
        <v>11473</v>
      </c>
      <c r="D68" s="122" t="s">
        <v>584</v>
      </c>
      <c r="E68" s="115"/>
      <c r="F68" s="115"/>
      <c r="G68" s="115">
        <v>0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>
        <f t="shared" si="1"/>
        <v>0</v>
      </c>
      <c r="R68" s="108"/>
      <c r="S68" s="270"/>
      <c r="U68" s="253"/>
    </row>
    <row r="69" spans="1:21" ht="12.75">
      <c r="A69" s="116">
        <f t="shared" si="2"/>
        <v>63</v>
      </c>
      <c r="B69" s="111" t="s">
        <v>129</v>
      </c>
      <c r="C69" s="111">
        <v>11475</v>
      </c>
      <c r="D69" s="122" t="s">
        <v>585</v>
      </c>
      <c r="E69" s="115">
        <v>51.21</v>
      </c>
      <c r="F69" s="115">
        <v>76.11</v>
      </c>
      <c r="G69" s="115">
        <v>84.62</v>
      </c>
      <c r="H69" s="115">
        <v>11.38</v>
      </c>
      <c r="I69" s="115">
        <v>44.11</v>
      </c>
      <c r="J69" s="115">
        <v>226.04</v>
      </c>
      <c r="K69" s="115">
        <v>63.02</v>
      </c>
      <c r="L69" s="115">
        <v>69.92</v>
      </c>
      <c r="M69" s="115">
        <v>93.15</v>
      </c>
      <c r="N69" s="115">
        <v>107.87</v>
      </c>
      <c r="O69" s="115">
        <v>105.57</v>
      </c>
      <c r="P69" s="115">
        <v>127.42</v>
      </c>
      <c r="Q69" s="115">
        <f t="shared" si="1"/>
        <v>1060.42</v>
      </c>
      <c r="R69" s="108"/>
      <c r="S69" s="270"/>
      <c r="U69" s="253"/>
    </row>
    <row r="70" spans="1:21" ht="12.75">
      <c r="A70" s="116">
        <f t="shared" si="2"/>
        <v>64</v>
      </c>
      <c r="B70" s="111" t="s">
        <v>786</v>
      </c>
      <c r="C70" s="111">
        <v>11146</v>
      </c>
      <c r="D70" s="122" t="s">
        <v>585</v>
      </c>
      <c r="E70" s="115">
        <v>704.33</v>
      </c>
      <c r="F70" s="115">
        <v>780.39</v>
      </c>
      <c r="G70" s="115">
        <v>501.78</v>
      </c>
      <c r="H70" s="115">
        <v>565.05</v>
      </c>
      <c r="I70" s="115">
        <v>448.48</v>
      </c>
      <c r="J70" s="115">
        <v>523.81</v>
      </c>
      <c r="K70" s="115">
        <v>329.36</v>
      </c>
      <c r="L70" s="115">
        <v>386.17</v>
      </c>
      <c r="M70" s="115">
        <v>338.79</v>
      </c>
      <c r="N70" s="115">
        <v>357.42</v>
      </c>
      <c r="O70" s="115">
        <v>215.74</v>
      </c>
      <c r="P70" s="115">
        <v>246.1</v>
      </c>
      <c r="Q70" s="115">
        <f t="shared" si="1"/>
        <v>5397.42</v>
      </c>
      <c r="R70" s="108"/>
      <c r="S70" s="270"/>
      <c r="U70" s="253"/>
    </row>
    <row r="71" spans="1:21" ht="12.75">
      <c r="A71" s="116">
        <f t="shared" si="2"/>
        <v>65</v>
      </c>
      <c r="B71" s="111" t="s">
        <v>787</v>
      </c>
      <c r="C71" s="111">
        <v>11148</v>
      </c>
      <c r="D71" s="122" t="s">
        <v>585</v>
      </c>
      <c r="E71" s="115">
        <v>869.29</v>
      </c>
      <c r="F71" s="115">
        <v>769.84</v>
      </c>
      <c r="G71" s="115">
        <v>428.64</v>
      </c>
      <c r="H71" s="115">
        <v>536.02</v>
      </c>
      <c r="I71" s="115">
        <v>430.83</v>
      </c>
      <c r="J71" s="115">
        <v>332.74</v>
      </c>
      <c r="K71" s="115">
        <v>296.93</v>
      </c>
      <c r="L71" s="115">
        <v>583.05</v>
      </c>
      <c r="M71" s="115">
        <v>569.71</v>
      </c>
      <c r="N71" s="115">
        <v>904.13</v>
      </c>
      <c r="O71" s="115">
        <v>631.58</v>
      </c>
      <c r="P71" s="115">
        <v>1199.91</v>
      </c>
      <c r="Q71" s="115">
        <f t="shared" si="1"/>
        <v>7552.669999999999</v>
      </c>
      <c r="R71" s="108"/>
      <c r="S71" s="270"/>
      <c r="U71" s="253"/>
    </row>
    <row r="72" spans="1:21" ht="12.75">
      <c r="A72" s="116">
        <f t="shared" si="2"/>
        <v>66</v>
      </c>
      <c r="B72" s="111" t="s">
        <v>788</v>
      </c>
      <c r="C72" s="111">
        <v>11109</v>
      </c>
      <c r="D72" s="122" t="s">
        <v>585</v>
      </c>
      <c r="E72" s="115">
        <v>1670.85</v>
      </c>
      <c r="F72" s="115">
        <v>1784.22</v>
      </c>
      <c r="G72" s="115">
        <v>926.89</v>
      </c>
      <c r="H72" s="115">
        <v>781.97</v>
      </c>
      <c r="I72" s="115">
        <v>581.46</v>
      </c>
      <c r="J72" s="115">
        <v>497.47</v>
      </c>
      <c r="K72" s="115">
        <v>443.9</v>
      </c>
      <c r="L72" s="115">
        <v>460.69</v>
      </c>
      <c r="M72" s="115">
        <v>1088.59</v>
      </c>
      <c r="N72" s="115">
        <v>1494.08</v>
      </c>
      <c r="O72" s="115">
        <v>1473.84</v>
      </c>
      <c r="P72" s="115">
        <v>1539.16</v>
      </c>
      <c r="Q72" s="115">
        <f aca="true" t="shared" si="4" ref="Q72:Q135">E72+F72+G72+H72+I72+J72+K72+L72+M72+N72+O72+P72</f>
        <v>12743.119999999999</v>
      </c>
      <c r="R72" s="108"/>
      <c r="S72" s="270"/>
      <c r="U72" s="253"/>
    </row>
    <row r="73" spans="1:21" ht="12.75">
      <c r="A73" s="116">
        <f aca="true" t="shared" si="5" ref="A73:A136">A72+1</f>
        <v>67</v>
      </c>
      <c r="B73" s="111" t="s">
        <v>789</v>
      </c>
      <c r="C73" s="111">
        <v>11149</v>
      </c>
      <c r="D73" s="122" t="s">
        <v>585</v>
      </c>
      <c r="E73" s="115">
        <v>1155.35</v>
      </c>
      <c r="F73" s="115">
        <v>1529.08</v>
      </c>
      <c r="G73" s="115">
        <v>720.79</v>
      </c>
      <c r="H73" s="115">
        <v>538.08</v>
      </c>
      <c r="I73" s="115">
        <v>390.24</v>
      </c>
      <c r="J73" s="115">
        <v>375.36</v>
      </c>
      <c r="K73" s="115">
        <v>381.8</v>
      </c>
      <c r="L73" s="115">
        <v>451.72</v>
      </c>
      <c r="M73" s="115">
        <v>674.59</v>
      </c>
      <c r="N73" s="115">
        <v>949.67</v>
      </c>
      <c r="O73" s="115">
        <v>946.68</v>
      </c>
      <c r="P73" s="115">
        <v>1083.3</v>
      </c>
      <c r="Q73" s="115">
        <f t="shared" si="4"/>
        <v>9196.66</v>
      </c>
      <c r="R73" s="108"/>
      <c r="S73" s="270"/>
      <c r="U73" s="253"/>
    </row>
    <row r="74" spans="1:21" ht="12.75">
      <c r="A74" s="116">
        <f t="shared" si="5"/>
        <v>68</v>
      </c>
      <c r="B74" s="111" t="s">
        <v>790</v>
      </c>
      <c r="C74" s="111">
        <v>11152</v>
      </c>
      <c r="D74" s="122" t="s">
        <v>585</v>
      </c>
      <c r="E74" s="115">
        <v>1173.58</v>
      </c>
      <c r="F74" s="115">
        <v>1217.06</v>
      </c>
      <c r="G74" s="115">
        <v>774.95</v>
      </c>
      <c r="H74" s="115">
        <v>1046.56</v>
      </c>
      <c r="I74" s="115">
        <v>999.63</v>
      </c>
      <c r="J74" s="115">
        <v>1013.93</v>
      </c>
      <c r="K74" s="115">
        <v>999.12</v>
      </c>
      <c r="L74" s="115">
        <v>908.27</v>
      </c>
      <c r="M74" s="115">
        <v>1057.54</v>
      </c>
      <c r="N74" s="115">
        <v>1265</v>
      </c>
      <c r="O74" s="115">
        <v>1060.53</v>
      </c>
      <c r="P74" s="115">
        <v>1228.2</v>
      </c>
      <c r="Q74" s="115">
        <f t="shared" si="4"/>
        <v>12744.37</v>
      </c>
      <c r="R74" s="108"/>
      <c r="S74" s="270"/>
      <c r="U74" s="253"/>
    </row>
    <row r="75" spans="1:21" ht="12.75">
      <c r="A75" s="116">
        <f t="shared" si="5"/>
        <v>69</v>
      </c>
      <c r="B75" s="111" t="s">
        <v>791</v>
      </c>
      <c r="C75" s="111">
        <v>11154</v>
      </c>
      <c r="D75" s="122" t="s">
        <v>585</v>
      </c>
      <c r="E75" s="115">
        <v>1967.31</v>
      </c>
      <c r="F75" s="115">
        <v>1905.9</v>
      </c>
      <c r="G75" s="115">
        <v>1064.18</v>
      </c>
      <c r="H75" s="115">
        <v>1066.67</v>
      </c>
      <c r="I75" s="115">
        <v>844.96</v>
      </c>
      <c r="J75" s="115">
        <v>815.83</v>
      </c>
      <c r="K75" s="115">
        <v>714.38</v>
      </c>
      <c r="L75" s="115">
        <v>1116.88</v>
      </c>
      <c r="M75" s="115">
        <v>1441.64</v>
      </c>
      <c r="N75" s="115">
        <v>1989.73</v>
      </c>
      <c r="O75" s="115">
        <v>1514.32</v>
      </c>
      <c r="P75" s="115">
        <v>2624.07</v>
      </c>
      <c r="Q75" s="115">
        <f t="shared" si="4"/>
        <v>17065.87</v>
      </c>
      <c r="R75" s="108"/>
      <c r="S75" s="270"/>
      <c r="U75" s="253"/>
    </row>
    <row r="76" spans="1:21" ht="12.75">
      <c r="A76" s="116">
        <f t="shared" si="5"/>
        <v>70</v>
      </c>
      <c r="B76" s="111" t="s">
        <v>792</v>
      </c>
      <c r="C76" s="111">
        <v>11157</v>
      </c>
      <c r="D76" s="122" t="s">
        <v>585</v>
      </c>
      <c r="E76" s="115">
        <v>1090.56</v>
      </c>
      <c r="F76" s="115">
        <v>636.63</v>
      </c>
      <c r="G76" s="115">
        <v>0</v>
      </c>
      <c r="H76" s="115">
        <v>230.43</v>
      </c>
      <c r="I76" s="115">
        <v>189.57</v>
      </c>
      <c r="J76" s="115">
        <v>215.07</v>
      </c>
      <c r="K76" s="115">
        <v>214.42</v>
      </c>
      <c r="L76" s="115">
        <v>288.28</v>
      </c>
      <c r="M76" s="115">
        <v>306.28</v>
      </c>
      <c r="N76" s="115">
        <v>382.55</v>
      </c>
      <c r="O76" s="115">
        <v>463.87</v>
      </c>
      <c r="P76" s="115">
        <v>473.7</v>
      </c>
      <c r="Q76" s="115">
        <f t="shared" si="4"/>
        <v>4491.36</v>
      </c>
      <c r="R76" s="108"/>
      <c r="S76" s="270"/>
      <c r="U76" s="253"/>
    </row>
    <row r="77" spans="1:21" ht="12.75">
      <c r="A77" s="116">
        <f t="shared" si="5"/>
        <v>71</v>
      </c>
      <c r="B77" s="111" t="s">
        <v>793</v>
      </c>
      <c r="C77" s="111">
        <v>11107</v>
      </c>
      <c r="D77" s="122" t="s">
        <v>589</v>
      </c>
      <c r="E77" s="113">
        <f>ROUND(0.04*521.42,0)*3.53*12</f>
        <v>889.56</v>
      </c>
      <c r="F77" s="114">
        <f>ROUND(0.04*409.08,0)*3.53*22</f>
        <v>1242.56</v>
      </c>
      <c r="G77" s="114">
        <f>ROUND(0.04*366.33,0)*3.53*12</f>
        <v>635.4</v>
      </c>
      <c r="H77" s="114">
        <f>ROUND(0.04*254.17,0)*3.53*12</f>
        <v>423.59999999999997</v>
      </c>
      <c r="I77" s="114">
        <f>ROUND(0.04*168.83,0)*3.53*12</f>
        <v>296.52</v>
      </c>
      <c r="J77" s="114">
        <f>ROUND(0.04*102.5,0)*3.53*12</f>
        <v>169.44</v>
      </c>
      <c r="K77" s="114">
        <f>ROUND(0.04*143.25,0)*3.84*12</f>
        <v>276.48</v>
      </c>
      <c r="L77" s="114">
        <f>(0.04*235.08)*3.84*12</f>
        <v>433.299456</v>
      </c>
      <c r="M77" s="131">
        <f>95.7*3.22*3.84</f>
        <v>1183.3113600000001</v>
      </c>
      <c r="N77" s="131">
        <f>95.7*3.22*3.84</f>
        <v>1183.3113600000001</v>
      </c>
      <c r="O77" s="131">
        <f>95.7*3.22*3.84</f>
        <v>1183.3113600000001</v>
      </c>
      <c r="P77" s="131">
        <f>95.7*3.22*3.84</f>
        <v>1183.3113600000001</v>
      </c>
      <c r="Q77" s="115">
        <f t="shared" si="4"/>
        <v>9100.104895999999</v>
      </c>
      <c r="R77" s="108"/>
      <c r="S77" s="271"/>
      <c r="U77" s="253"/>
    </row>
    <row r="78" spans="1:21" ht="12.75">
      <c r="A78" s="116">
        <f t="shared" si="5"/>
        <v>72</v>
      </c>
      <c r="B78" s="111" t="s">
        <v>794</v>
      </c>
      <c r="C78" s="111">
        <v>11160</v>
      </c>
      <c r="D78" s="122" t="s">
        <v>585</v>
      </c>
      <c r="E78" s="114">
        <v>2626.65</v>
      </c>
      <c r="F78" s="115">
        <v>2369.59</v>
      </c>
      <c r="G78" s="115">
        <v>1379.55</v>
      </c>
      <c r="H78" s="115">
        <v>1933.92</v>
      </c>
      <c r="I78" s="115">
        <v>1243.21</v>
      </c>
      <c r="J78" s="115">
        <v>1149.35</v>
      </c>
      <c r="K78" s="115">
        <v>842.26</v>
      </c>
      <c r="L78" s="115">
        <v>958.41</v>
      </c>
      <c r="M78" s="115">
        <v>2434.32</v>
      </c>
      <c r="N78" s="115">
        <v>2828.31</v>
      </c>
      <c r="O78" s="115">
        <v>2200.87</v>
      </c>
      <c r="P78" s="115">
        <v>2520.11</v>
      </c>
      <c r="Q78" s="115">
        <f t="shared" si="4"/>
        <v>22486.55</v>
      </c>
      <c r="R78" s="108"/>
      <c r="S78" s="270"/>
      <c r="U78" s="253"/>
    </row>
    <row r="79" spans="1:21" ht="12.75">
      <c r="A79" s="116">
        <f t="shared" si="5"/>
        <v>73</v>
      </c>
      <c r="B79" s="111" t="s">
        <v>795</v>
      </c>
      <c r="C79" s="111">
        <v>11108</v>
      </c>
      <c r="D79" s="122" t="s">
        <v>585</v>
      </c>
      <c r="E79" s="115">
        <v>1072.09</v>
      </c>
      <c r="F79" s="115">
        <v>1349.54</v>
      </c>
      <c r="G79" s="115">
        <v>925.8599999999999</v>
      </c>
      <c r="H79" s="115">
        <v>730.46</v>
      </c>
      <c r="I79" s="115">
        <v>604.6</v>
      </c>
      <c r="J79" s="115">
        <v>576.83</v>
      </c>
      <c r="K79" s="115">
        <v>738.76</v>
      </c>
      <c r="L79" s="115">
        <v>692.07</v>
      </c>
      <c r="M79" s="115">
        <v>960.94</v>
      </c>
      <c r="N79" s="115">
        <v>1285.47</v>
      </c>
      <c r="O79" s="115">
        <v>1184.27</v>
      </c>
      <c r="P79" s="115">
        <v>1290.3</v>
      </c>
      <c r="Q79" s="115">
        <f t="shared" si="4"/>
        <v>11411.189999999999</v>
      </c>
      <c r="R79" s="108"/>
      <c r="S79" s="270"/>
      <c r="U79" s="253"/>
    </row>
    <row r="80" spans="1:21" ht="12.75">
      <c r="A80" s="116">
        <f t="shared" si="5"/>
        <v>74</v>
      </c>
      <c r="B80" s="111" t="s">
        <v>796</v>
      </c>
      <c r="C80" s="111">
        <v>11309</v>
      </c>
      <c r="D80" s="122" t="s">
        <v>585</v>
      </c>
      <c r="E80" s="115">
        <v>1892.51</v>
      </c>
      <c r="F80" s="115">
        <v>1966.15</v>
      </c>
      <c r="G80" s="115">
        <v>1492.67</v>
      </c>
      <c r="H80" s="115">
        <v>1423.81</v>
      </c>
      <c r="I80" s="115">
        <v>1218.44</v>
      </c>
      <c r="J80" s="115">
        <v>1160.86</v>
      </c>
      <c r="K80" s="115">
        <v>1072.95</v>
      </c>
      <c r="L80" s="115">
        <v>1414.96</v>
      </c>
      <c r="M80" s="115">
        <v>1176.45</v>
      </c>
      <c r="N80" s="115">
        <v>2061.26</v>
      </c>
      <c r="O80" s="115">
        <v>2224.79</v>
      </c>
      <c r="P80" s="115">
        <v>2191.9</v>
      </c>
      <c r="Q80" s="115">
        <f t="shared" si="4"/>
        <v>19296.750000000004</v>
      </c>
      <c r="R80" s="108"/>
      <c r="S80" s="270"/>
      <c r="U80" s="253"/>
    </row>
    <row r="81" spans="1:21" ht="12.75">
      <c r="A81" s="116">
        <f t="shared" si="5"/>
        <v>75</v>
      </c>
      <c r="B81" s="111" t="s">
        <v>797</v>
      </c>
      <c r="C81" s="111">
        <v>12401</v>
      </c>
      <c r="D81" s="129" t="s">
        <v>588</v>
      </c>
      <c r="E81" s="115">
        <v>7147.71</v>
      </c>
      <c r="F81" s="115">
        <v>4223.16</v>
      </c>
      <c r="G81" s="115">
        <v>4245.6</v>
      </c>
      <c r="H81" s="115">
        <v>3678.68</v>
      </c>
      <c r="I81" s="115">
        <v>3475.35</v>
      </c>
      <c r="J81" s="115">
        <v>2947.74</v>
      </c>
      <c r="K81" s="115">
        <v>3020.13</v>
      </c>
      <c r="L81" s="115">
        <v>4142.07</v>
      </c>
      <c r="M81" s="115">
        <v>4614.72</v>
      </c>
      <c r="N81" s="115">
        <v>5025.73</v>
      </c>
      <c r="O81" s="115">
        <v>4985.48</v>
      </c>
      <c r="P81" s="115">
        <v>4967.08</v>
      </c>
      <c r="Q81" s="115">
        <f t="shared" si="4"/>
        <v>52473.45</v>
      </c>
      <c r="R81" s="108"/>
      <c r="S81" s="270"/>
      <c r="U81" s="253"/>
    </row>
    <row r="82" spans="1:21" ht="12.75">
      <c r="A82" s="116">
        <f t="shared" si="5"/>
        <v>76</v>
      </c>
      <c r="B82" s="111" t="s">
        <v>798</v>
      </c>
      <c r="C82" s="111">
        <v>12405</v>
      </c>
      <c r="D82" s="122" t="s">
        <v>585</v>
      </c>
      <c r="E82" s="115">
        <v>2890.98</v>
      </c>
      <c r="F82" s="115">
        <v>2890.98</v>
      </c>
      <c r="G82" s="115">
        <v>1897.39</v>
      </c>
      <c r="H82" s="115">
        <v>1752.47</v>
      </c>
      <c r="I82" s="115">
        <v>1425.27</v>
      </c>
      <c r="J82" s="115">
        <v>1599.37</v>
      </c>
      <c r="K82" s="115">
        <v>1538.24</v>
      </c>
      <c r="L82" s="115">
        <v>1640.59</v>
      </c>
      <c r="M82" s="115">
        <v>1865.53</v>
      </c>
      <c r="N82" s="115">
        <v>2183.16</v>
      </c>
      <c r="O82" s="115">
        <v>2789.67</v>
      </c>
      <c r="P82" s="115">
        <v>2498.49</v>
      </c>
      <c r="Q82" s="115">
        <f t="shared" si="4"/>
        <v>24972.14</v>
      </c>
      <c r="R82" s="108"/>
      <c r="S82" s="270"/>
      <c r="U82" s="253"/>
    </row>
    <row r="83" spans="1:21" ht="12.75">
      <c r="A83" s="116">
        <f t="shared" si="5"/>
        <v>77</v>
      </c>
      <c r="B83" s="111" t="s">
        <v>799</v>
      </c>
      <c r="C83" s="111">
        <v>12402</v>
      </c>
      <c r="D83" s="122" t="s">
        <v>585</v>
      </c>
      <c r="E83" s="115">
        <v>3815.74</v>
      </c>
      <c r="F83" s="115">
        <v>2559.88</v>
      </c>
      <c r="G83" s="115">
        <v>2192.77</v>
      </c>
      <c r="H83" s="115">
        <v>2005.05</v>
      </c>
      <c r="I83" s="115">
        <v>1648.72</v>
      </c>
      <c r="J83" s="115">
        <v>1435.47</v>
      </c>
      <c r="K83" s="115">
        <v>1241.77</v>
      </c>
      <c r="L83" s="115">
        <v>1878.18</v>
      </c>
      <c r="M83" s="115">
        <v>2033.66</v>
      </c>
      <c r="N83" s="115">
        <v>2532.99</v>
      </c>
      <c r="O83" s="287">
        <v>2789.21</v>
      </c>
      <c r="P83" s="287">
        <v>2624.07</v>
      </c>
      <c r="Q83" s="115">
        <f t="shared" si="4"/>
        <v>26757.509999999995</v>
      </c>
      <c r="R83" s="108"/>
      <c r="S83" s="270"/>
      <c r="U83" s="253"/>
    </row>
    <row r="84" spans="1:21" ht="12.75">
      <c r="A84" s="116">
        <f t="shared" si="5"/>
        <v>78</v>
      </c>
      <c r="B84" s="111" t="s">
        <v>800</v>
      </c>
      <c r="C84" s="111">
        <v>12403</v>
      </c>
      <c r="D84" s="122" t="s">
        <v>590</v>
      </c>
      <c r="E84" s="133">
        <v>0</v>
      </c>
      <c r="F84" s="115">
        <v>0</v>
      </c>
      <c r="G84" s="115">
        <v>0</v>
      </c>
      <c r="H84" s="115">
        <f>118*2.83*3.53</f>
        <v>1178.8082</v>
      </c>
      <c r="I84" s="115">
        <f>118*2.83*3.53</f>
        <v>1178.8082</v>
      </c>
      <c r="J84" s="178">
        <f>118*2.83*3.53</f>
        <v>1178.8082</v>
      </c>
      <c r="K84" s="178">
        <f>118*2.83*3.84</f>
        <v>1282.3296</v>
      </c>
      <c r="L84" s="178">
        <f>118*2.83*3.84</f>
        <v>1282.3296</v>
      </c>
      <c r="M84" s="131">
        <f>98.2*3.22*3.84</f>
        <v>1214.22336</v>
      </c>
      <c r="N84" s="131">
        <f>98.2*3.22*3.84</f>
        <v>1214.22336</v>
      </c>
      <c r="O84" s="131">
        <f>98.2*3.22*3.84</f>
        <v>1214.22336</v>
      </c>
      <c r="P84" s="131">
        <f>98.2*3.22*3.84</f>
        <v>1214.22336</v>
      </c>
      <c r="Q84" s="115">
        <f t="shared" si="4"/>
        <v>10957.97724</v>
      </c>
      <c r="R84" s="108"/>
      <c r="S84" s="271"/>
      <c r="U84" s="253"/>
    </row>
    <row r="85" spans="1:21" ht="12.75">
      <c r="A85" s="116">
        <f t="shared" si="5"/>
        <v>79</v>
      </c>
      <c r="B85" s="111" t="s">
        <v>801</v>
      </c>
      <c r="C85" s="111">
        <v>12404</v>
      </c>
      <c r="D85" s="122" t="s">
        <v>585</v>
      </c>
      <c r="E85" s="115">
        <v>1642.6</v>
      </c>
      <c r="F85" s="115">
        <v>1328.49</v>
      </c>
      <c r="G85" s="115">
        <v>1068.36</v>
      </c>
      <c r="H85" s="115">
        <v>1090.79</v>
      </c>
      <c r="I85" s="115">
        <v>686.6</v>
      </c>
      <c r="J85" s="115">
        <v>599.69</v>
      </c>
      <c r="K85" s="115">
        <v>649.29</v>
      </c>
      <c r="L85" s="115">
        <v>741.98</v>
      </c>
      <c r="M85" s="115">
        <v>1105.61</v>
      </c>
      <c r="N85" s="115">
        <v>1443.71</v>
      </c>
      <c r="O85" s="115">
        <v>1935.22</v>
      </c>
      <c r="P85" s="115">
        <v>2777.71</v>
      </c>
      <c r="Q85" s="115">
        <f t="shared" si="4"/>
        <v>15070.050000000003</v>
      </c>
      <c r="R85" s="108"/>
      <c r="S85" s="270"/>
      <c r="U85" s="253"/>
    </row>
    <row r="86" spans="1:21" ht="12.75" customHeight="1">
      <c r="A86" s="116">
        <f t="shared" si="5"/>
        <v>80</v>
      </c>
      <c r="B86" s="111" t="s">
        <v>802</v>
      </c>
      <c r="C86" s="111">
        <v>21308</v>
      </c>
      <c r="D86" s="122">
        <v>2</v>
      </c>
      <c r="E86" s="113">
        <f>ROUND(0.04*521.42,0)*3.53*2</f>
        <v>148.26</v>
      </c>
      <c r="F86" s="114">
        <f>ROUND(0.04*409.08,0)*3.53*2</f>
        <v>112.96</v>
      </c>
      <c r="G86" s="114">
        <f>ROUND(0.04*366.33,0)*3.53*2</f>
        <v>105.89999999999999</v>
      </c>
      <c r="H86" s="114">
        <f>ROUND(0.04*254.17,0)*3.53*2</f>
        <v>70.6</v>
      </c>
      <c r="I86" s="114">
        <f>ROUND(0.04*168.83,0)*3.53*2</f>
        <v>49.419999999999995</v>
      </c>
      <c r="J86" s="114">
        <f>ROUND(0.04*102.5,0)*3.53*2</f>
        <v>28.24</v>
      </c>
      <c r="K86" s="114">
        <f>ROUND(0.04*143.25,0)*3.84*2</f>
        <v>46.08</v>
      </c>
      <c r="L86" s="114">
        <f>(0.04*235.08)*3.84*2</f>
        <v>72.216576</v>
      </c>
      <c r="M86" s="240">
        <f>(0.04*314.166)*3.84*2</f>
        <v>96.5117952</v>
      </c>
      <c r="N86" s="260">
        <f>(0.04*430.833)*3.84*2</f>
        <v>132.35189760000003</v>
      </c>
      <c r="O86" s="260"/>
      <c r="P86" s="260"/>
      <c r="Q86" s="115">
        <f t="shared" si="4"/>
        <v>862.5402687999999</v>
      </c>
      <c r="R86" s="108" t="s">
        <v>1372</v>
      </c>
      <c r="S86" s="270"/>
      <c r="U86" s="253"/>
    </row>
    <row r="87" spans="1:21" ht="12.75">
      <c r="A87" s="116">
        <f t="shared" si="5"/>
        <v>81</v>
      </c>
      <c r="B87" s="111" t="s">
        <v>803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15">
        <f t="shared" si="4"/>
        <v>0</v>
      </c>
      <c r="S87" s="270"/>
      <c r="U87" s="253"/>
    </row>
    <row r="88" spans="1:21" ht="12.75">
      <c r="A88" s="116">
        <f t="shared" si="5"/>
        <v>82</v>
      </c>
      <c r="B88" s="111" t="s">
        <v>638</v>
      </c>
      <c r="C88" s="121">
        <v>21305</v>
      </c>
      <c r="D88" s="122" t="s">
        <v>717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>
        <f t="shared" si="4"/>
        <v>0</v>
      </c>
      <c r="R88" s="256" t="s">
        <v>282</v>
      </c>
      <c r="S88" s="270"/>
      <c r="U88" s="253"/>
    </row>
    <row r="89" spans="1:21" ht="12.75">
      <c r="A89" s="116">
        <f t="shared" si="5"/>
        <v>83</v>
      </c>
      <c r="B89" s="111" t="s">
        <v>804</v>
      </c>
      <c r="C89" s="117">
        <v>21309</v>
      </c>
      <c r="D89" s="128">
        <v>2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5">
        <f t="shared" si="4"/>
        <v>0</v>
      </c>
      <c r="R89" s="256" t="s">
        <v>805</v>
      </c>
      <c r="S89" s="270"/>
      <c r="U89" s="253"/>
    </row>
    <row r="90" spans="1:21" ht="12.75">
      <c r="A90" s="116">
        <f t="shared" si="5"/>
        <v>84</v>
      </c>
      <c r="B90" s="111" t="s">
        <v>639</v>
      </c>
      <c r="C90" s="111">
        <v>22194</v>
      </c>
      <c r="D90" s="122" t="s">
        <v>717</v>
      </c>
      <c r="E90" s="13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>
        <f t="shared" si="4"/>
        <v>0</v>
      </c>
      <c r="R90" s="108" t="s">
        <v>716</v>
      </c>
      <c r="S90" s="270"/>
      <c r="U90" s="253"/>
    </row>
    <row r="91" spans="1:21" ht="12.75">
      <c r="A91" s="116">
        <f t="shared" si="5"/>
        <v>85</v>
      </c>
      <c r="B91" s="111" t="s">
        <v>807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15">
        <f t="shared" si="4"/>
        <v>0</v>
      </c>
      <c r="S91" s="270"/>
      <c r="U91" s="253"/>
    </row>
    <row r="92" spans="1:21" ht="12.75">
      <c r="A92" s="116">
        <f t="shared" si="5"/>
        <v>86</v>
      </c>
      <c r="B92" s="111" t="s">
        <v>808</v>
      </c>
      <c r="C92" s="111">
        <v>22155</v>
      </c>
      <c r="D92" s="132">
        <v>3</v>
      </c>
      <c r="E92" s="114">
        <f>ROUND(0.04*521.42,0)*3.53*3</f>
        <v>222.39</v>
      </c>
      <c r="F92" s="114">
        <f>ROUND(0.04*409.08,0)*3.53*3</f>
        <v>169.44</v>
      </c>
      <c r="G92" s="114">
        <f>ROUND(0.04*366.33,0)*3.53*3</f>
        <v>158.85</v>
      </c>
      <c r="H92" s="114">
        <f>ROUND(0.04*254.17,0)*3.53*3</f>
        <v>105.89999999999999</v>
      </c>
      <c r="I92" s="114">
        <f>ROUND(0.04*168.83,0)*3.53*3</f>
        <v>74.13</v>
      </c>
      <c r="J92" s="114">
        <f>ROUND(0.04*102.5,0)*3.53*3</f>
        <v>42.36</v>
      </c>
      <c r="K92" s="114">
        <f>ROUND(0.04*143.25,0)*3.84*3</f>
        <v>69.12</v>
      </c>
      <c r="L92" s="114">
        <f>(0.04*235.08)*3.84*3</f>
        <v>108.324864</v>
      </c>
      <c r="M92" s="114">
        <f>(0.04*314.166)*3.84*3</f>
        <v>144.7676928</v>
      </c>
      <c r="N92" s="261">
        <f>(0.04*430.833)*3.84*3</f>
        <v>198.52784640000004</v>
      </c>
      <c r="O92" s="261"/>
      <c r="P92" s="261"/>
      <c r="Q92" s="115">
        <f t="shared" si="4"/>
        <v>1293.8104032</v>
      </c>
      <c r="R92" s="108" t="s">
        <v>1382</v>
      </c>
      <c r="S92" s="270"/>
      <c r="U92" s="253"/>
    </row>
    <row r="93" spans="1:21" ht="12.75">
      <c r="A93" s="116">
        <f t="shared" si="5"/>
        <v>87</v>
      </c>
      <c r="B93" s="111" t="s">
        <v>640</v>
      </c>
      <c r="C93" s="121">
        <v>22156</v>
      </c>
      <c r="D93" s="122" t="s">
        <v>717</v>
      </c>
      <c r="E93" s="134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>
        <f t="shared" si="4"/>
        <v>0</v>
      </c>
      <c r="R93" s="108" t="s">
        <v>716</v>
      </c>
      <c r="S93" s="270"/>
      <c r="U93" s="253"/>
    </row>
    <row r="94" spans="1:21" ht="12.75">
      <c r="A94" s="116">
        <f t="shared" si="5"/>
        <v>88</v>
      </c>
      <c r="B94" s="111" t="s">
        <v>641</v>
      </c>
      <c r="C94" s="111">
        <v>22166</v>
      </c>
      <c r="D94" s="122" t="s">
        <v>717</v>
      </c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>
        <f t="shared" si="4"/>
        <v>0</v>
      </c>
      <c r="R94" s="108" t="s">
        <v>716</v>
      </c>
      <c r="S94" s="270"/>
      <c r="U94" s="253"/>
    </row>
    <row r="95" spans="1:21" ht="12.75">
      <c r="A95" s="116">
        <f t="shared" si="5"/>
        <v>89</v>
      </c>
      <c r="B95" s="111" t="s">
        <v>810</v>
      </c>
      <c r="C95" s="111">
        <v>22190</v>
      </c>
      <c r="D95" s="122" t="s">
        <v>811</v>
      </c>
      <c r="E95" s="133">
        <f aca="true" t="shared" si="6" ref="E95:J95">49.9*2.83*3.53</f>
        <v>498.49601</v>
      </c>
      <c r="F95" s="133">
        <f t="shared" si="6"/>
        <v>498.49601</v>
      </c>
      <c r="G95" s="133">
        <f t="shared" si="6"/>
        <v>498.49601</v>
      </c>
      <c r="H95" s="133">
        <f t="shared" si="6"/>
        <v>498.49601</v>
      </c>
      <c r="I95" s="133">
        <f t="shared" si="6"/>
        <v>498.49601</v>
      </c>
      <c r="J95" s="133">
        <f t="shared" si="6"/>
        <v>498.49601</v>
      </c>
      <c r="K95" s="133">
        <f aca="true" t="shared" si="7" ref="K95:P95">49.9*2.83*3.84</f>
        <v>542.27328</v>
      </c>
      <c r="L95" s="133">
        <f t="shared" si="7"/>
        <v>542.27328</v>
      </c>
      <c r="M95" s="131">
        <f t="shared" si="7"/>
        <v>542.27328</v>
      </c>
      <c r="N95" s="131">
        <f t="shared" si="7"/>
        <v>542.27328</v>
      </c>
      <c r="O95" s="131">
        <f t="shared" si="7"/>
        <v>542.27328</v>
      </c>
      <c r="P95" s="131">
        <f t="shared" si="7"/>
        <v>542.27328</v>
      </c>
      <c r="Q95" s="115">
        <f t="shared" si="4"/>
        <v>6244.615740000001</v>
      </c>
      <c r="R95" s="108"/>
      <c r="S95" s="271"/>
      <c r="U95" s="253"/>
    </row>
    <row r="96" spans="1:21" ht="12.75">
      <c r="A96" s="116">
        <f t="shared" si="5"/>
        <v>90</v>
      </c>
      <c r="B96" s="111" t="s">
        <v>812</v>
      </c>
      <c r="C96" s="111">
        <v>22191</v>
      </c>
      <c r="D96" s="122" t="s">
        <v>813</v>
      </c>
      <c r="E96" s="133">
        <f aca="true" t="shared" si="8" ref="E96:J96">53*2.83*3.53</f>
        <v>529.4647</v>
      </c>
      <c r="F96" s="133">
        <f t="shared" si="8"/>
        <v>529.4647</v>
      </c>
      <c r="G96" s="133">
        <f t="shared" si="8"/>
        <v>529.4647</v>
      </c>
      <c r="H96" s="133">
        <f t="shared" si="8"/>
        <v>529.4647</v>
      </c>
      <c r="I96" s="133">
        <f t="shared" si="8"/>
        <v>529.4647</v>
      </c>
      <c r="J96" s="133">
        <f t="shared" si="8"/>
        <v>529.4647</v>
      </c>
      <c r="K96" s="133">
        <f aca="true" t="shared" si="9" ref="K96:P96">53*2.83*3.84</f>
        <v>575.9616</v>
      </c>
      <c r="L96" s="133">
        <f t="shared" si="9"/>
        <v>575.9616</v>
      </c>
      <c r="M96" s="131">
        <f t="shared" si="9"/>
        <v>575.9616</v>
      </c>
      <c r="N96" s="131">
        <f t="shared" si="9"/>
        <v>575.9616</v>
      </c>
      <c r="O96" s="131">
        <f t="shared" si="9"/>
        <v>575.9616</v>
      </c>
      <c r="P96" s="131">
        <f t="shared" si="9"/>
        <v>575.9616</v>
      </c>
      <c r="Q96" s="115">
        <f t="shared" si="4"/>
        <v>6632.557799999999</v>
      </c>
      <c r="R96" s="108"/>
      <c r="S96" s="271"/>
      <c r="U96" s="253"/>
    </row>
    <row r="97" spans="1:21" ht="12.75">
      <c r="A97" s="116">
        <f t="shared" si="5"/>
        <v>91</v>
      </c>
      <c r="B97" s="111" t="s">
        <v>814</v>
      </c>
      <c r="C97" s="111">
        <v>22192</v>
      </c>
      <c r="D97" s="122">
        <v>3</v>
      </c>
      <c r="E97" s="113">
        <f>ROUND(0.04*521.42,0)*3.53*3</f>
        <v>222.39</v>
      </c>
      <c r="F97" s="114">
        <f>ROUND(0.04*409.08,0)*3.53*3</f>
        <v>169.44</v>
      </c>
      <c r="G97" s="114">
        <f>ROUND(0.04*366.33,0)*3.53*3</f>
        <v>158.85</v>
      </c>
      <c r="H97" s="114">
        <f>ROUND(0.04*254.17,0)*3.53*3</f>
        <v>105.89999999999999</v>
      </c>
      <c r="I97" s="114">
        <f>ROUND(0.04*168.83,0)*3.53*3</f>
        <v>74.13</v>
      </c>
      <c r="J97" s="114">
        <f>ROUND(0.04*102.5,0)*3.53*3</f>
        <v>42.36</v>
      </c>
      <c r="K97" s="114">
        <f>ROUND(0.04*143.25,0)*3.84*3</f>
        <v>69.12</v>
      </c>
      <c r="L97" s="114">
        <f>(0.04*235.08)*3.84*3</f>
        <v>108.324864</v>
      </c>
      <c r="M97" s="114">
        <f>(0.04*314.166)*3.84*3</f>
        <v>144.7676928</v>
      </c>
      <c r="N97" s="261"/>
      <c r="O97" s="261"/>
      <c r="P97" s="261"/>
      <c r="Q97" s="115">
        <f t="shared" si="4"/>
        <v>1095.2825568</v>
      </c>
      <c r="R97" s="108" t="s">
        <v>1381</v>
      </c>
      <c r="S97" s="270"/>
      <c r="U97" s="253"/>
    </row>
    <row r="98" spans="1:21" ht="12.75">
      <c r="A98" s="116">
        <f t="shared" si="5"/>
        <v>92</v>
      </c>
      <c r="B98" s="111" t="s">
        <v>152</v>
      </c>
      <c r="C98" s="117">
        <v>22167</v>
      </c>
      <c r="D98" s="128" t="s">
        <v>584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5">
        <f t="shared" si="4"/>
        <v>0</v>
      </c>
      <c r="R98" s="108"/>
      <c r="S98" s="270"/>
      <c r="U98" s="253"/>
    </row>
    <row r="99" spans="1:21" ht="12.75">
      <c r="A99" s="116">
        <f t="shared" si="5"/>
        <v>93</v>
      </c>
      <c r="B99" s="111" t="s">
        <v>642</v>
      </c>
      <c r="C99" s="121">
        <v>22154</v>
      </c>
      <c r="D99" s="122" t="s">
        <v>717</v>
      </c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>
        <f t="shared" si="4"/>
        <v>0</v>
      </c>
      <c r="R99" s="108" t="s">
        <v>1380</v>
      </c>
      <c r="S99" s="270"/>
      <c r="U99" s="253"/>
    </row>
    <row r="100" spans="1:21" ht="12.75">
      <c r="A100" s="116">
        <f t="shared" si="5"/>
        <v>94</v>
      </c>
      <c r="B100" s="111" t="s">
        <v>815</v>
      </c>
      <c r="C100" s="111">
        <v>22193</v>
      </c>
      <c r="D100" s="122">
        <v>4</v>
      </c>
      <c r="E100" s="113">
        <f>ROUND(0.04*521.42,0)*3.53*4</f>
        <v>296.52</v>
      </c>
      <c r="F100" s="114">
        <f>ROUND(0.04*409.08,0)*3.53*4</f>
        <v>225.92</v>
      </c>
      <c r="G100" s="114">
        <f>ROUND(0.04*366.33,0)*3.53*4</f>
        <v>211.79999999999998</v>
      </c>
      <c r="H100" s="114">
        <f>ROUND(0.04*254.17,0)*3.53*4</f>
        <v>141.2</v>
      </c>
      <c r="I100" s="114">
        <f>ROUND(0.04*168.83,0)*3.53*4</f>
        <v>98.83999999999999</v>
      </c>
      <c r="J100" s="114">
        <f>ROUND(0.04*102.5,0)*3.53*4</f>
        <v>56.48</v>
      </c>
      <c r="K100" s="114">
        <f>ROUND(0.04*143.25,0)*3.84*4</f>
        <v>92.16</v>
      </c>
      <c r="L100" s="114">
        <f>(0.04*235.08)*3.84*4</f>
        <v>144.433152</v>
      </c>
      <c r="M100" s="114">
        <f>(0.04*314.166)*3.84*4</f>
        <v>193.0235904</v>
      </c>
      <c r="N100" s="261">
        <f>(0.04*430.833)*3.84*4</f>
        <v>264.70379520000006</v>
      </c>
      <c r="O100" s="261"/>
      <c r="P100" s="261"/>
      <c r="Q100" s="115">
        <f t="shared" si="4"/>
        <v>1725.0805375999998</v>
      </c>
      <c r="R100" s="108"/>
      <c r="S100" s="270"/>
      <c r="U100" s="253"/>
    </row>
    <row r="101" spans="1:21" ht="12.75">
      <c r="A101" s="116">
        <f t="shared" si="5"/>
        <v>95</v>
      </c>
      <c r="B101" s="111" t="s">
        <v>816</v>
      </c>
      <c r="C101" s="121"/>
      <c r="D101" s="123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5">
        <f t="shared" si="4"/>
        <v>0</v>
      </c>
      <c r="R101" s="108"/>
      <c r="S101" s="270"/>
      <c r="U101" s="253"/>
    </row>
    <row r="102" spans="1:21" ht="12.75">
      <c r="A102" s="116">
        <f t="shared" si="5"/>
        <v>96</v>
      </c>
      <c r="B102" s="111" t="s">
        <v>643</v>
      </c>
      <c r="C102" s="121">
        <v>21841</v>
      </c>
      <c r="D102" s="229" t="s">
        <v>717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9">
        <v>0</v>
      </c>
      <c r="O102" s="119">
        <v>0</v>
      </c>
      <c r="P102" s="119">
        <v>0</v>
      </c>
      <c r="Q102" s="115">
        <f t="shared" si="4"/>
        <v>0</v>
      </c>
      <c r="S102" s="270"/>
      <c r="U102" s="253"/>
    </row>
    <row r="103" spans="1:21" ht="12.75">
      <c r="A103" s="116">
        <f t="shared" si="5"/>
        <v>97</v>
      </c>
      <c r="B103" s="111" t="s">
        <v>644</v>
      </c>
      <c r="C103" s="121">
        <v>21632</v>
      </c>
      <c r="D103" s="122" t="s">
        <v>717</v>
      </c>
      <c r="E103" s="151"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231">
        <v>0</v>
      </c>
      <c r="O103" s="231">
        <v>0</v>
      </c>
      <c r="P103" s="231">
        <v>0</v>
      </c>
      <c r="Q103" s="115">
        <f t="shared" si="4"/>
        <v>0</v>
      </c>
      <c r="R103" s="256" t="s">
        <v>723</v>
      </c>
      <c r="S103" s="270"/>
      <c r="U103" s="253"/>
    </row>
    <row r="104" spans="1:21" ht="12.75">
      <c r="A104" s="116">
        <f t="shared" si="5"/>
        <v>98</v>
      </c>
      <c r="B104" s="111" t="s">
        <v>646</v>
      </c>
      <c r="C104" s="111">
        <v>21311</v>
      </c>
      <c r="D104" s="230" t="s">
        <v>717</v>
      </c>
      <c r="E104" s="125"/>
      <c r="F104" s="125"/>
      <c r="G104" s="125"/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0</v>
      </c>
      <c r="N104" s="231">
        <v>0</v>
      </c>
      <c r="O104" s="231">
        <v>0</v>
      </c>
      <c r="P104" s="231">
        <v>0</v>
      </c>
      <c r="Q104" s="115">
        <f t="shared" si="4"/>
        <v>0</v>
      </c>
      <c r="R104" s="108" t="s">
        <v>283</v>
      </c>
      <c r="S104" s="270"/>
      <c r="U104" s="253"/>
    </row>
    <row r="105" spans="1:21" ht="12.75">
      <c r="A105" s="116">
        <f t="shared" si="5"/>
        <v>99</v>
      </c>
      <c r="B105" s="111" t="s">
        <v>817</v>
      </c>
      <c r="C105" s="111">
        <v>21315</v>
      </c>
      <c r="D105" s="122">
        <v>1</v>
      </c>
      <c r="E105" s="113">
        <f>ROUND(0.04*521.42,0)*3.53</f>
        <v>74.13</v>
      </c>
      <c r="F105" s="114">
        <f>ROUND(0.04*409.08,0)*3.53</f>
        <v>56.48</v>
      </c>
      <c r="G105" s="114">
        <f>ROUND(0.04*366.33,0)*3.53</f>
        <v>52.949999999999996</v>
      </c>
      <c r="H105" s="151">
        <v>0</v>
      </c>
      <c r="I105" s="114">
        <f>ROUND(0.04*168.83,0)*3.53</f>
        <v>24.709999999999997</v>
      </c>
      <c r="J105" s="114">
        <f>ROUND(0.04*102.5,0)*3.53</f>
        <v>14.12</v>
      </c>
      <c r="K105" s="114">
        <f>ROUND(0.04*143.25,0)*3.84</f>
        <v>23.04</v>
      </c>
      <c r="L105" s="114">
        <f>(0.04*235.08)*3.84</f>
        <v>36.108288</v>
      </c>
      <c r="M105" s="114">
        <f>(0.04*314.166)*3.84</f>
        <v>48.2558976</v>
      </c>
      <c r="N105" s="261">
        <f>(0.04*430.833)*3.84</f>
        <v>66.17594880000001</v>
      </c>
      <c r="O105" s="261"/>
      <c r="P105" s="261"/>
      <c r="Q105" s="115">
        <f t="shared" si="4"/>
        <v>395.9701344</v>
      </c>
      <c r="R105" s="108"/>
      <c r="S105" s="270"/>
      <c r="U105" s="253"/>
    </row>
    <row r="106" spans="1:21" ht="12.75">
      <c r="A106" s="116">
        <f t="shared" si="5"/>
        <v>100</v>
      </c>
      <c r="B106" s="111" t="s">
        <v>647</v>
      </c>
      <c r="C106" s="121">
        <v>21161</v>
      </c>
      <c r="D106" s="122" t="s">
        <v>717</v>
      </c>
      <c r="E106" s="151">
        <v>0</v>
      </c>
      <c r="F106" s="151">
        <v>0</v>
      </c>
      <c r="G106" s="151">
        <v>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/>
      <c r="N106" s="151"/>
      <c r="O106" s="151"/>
      <c r="P106" s="151"/>
      <c r="Q106" s="115">
        <f t="shared" si="4"/>
        <v>0</v>
      </c>
      <c r="R106" s="256" t="s">
        <v>723</v>
      </c>
      <c r="S106" s="270"/>
      <c r="U106" s="253"/>
    </row>
    <row r="107" spans="1:21" ht="12.75">
      <c r="A107" s="116">
        <f t="shared" si="5"/>
        <v>101</v>
      </c>
      <c r="B107" s="111" t="s">
        <v>818</v>
      </c>
      <c r="C107" s="111">
        <v>21150</v>
      </c>
      <c r="D107" s="122">
        <v>0</v>
      </c>
      <c r="E107" s="115"/>
      <c r="F107" s="115"/>
      <c r="G107" s="115"/>
      <c r="H107" s="151">
        <v>0</v>
      </c>
      <c r="I107" s="115"/>
      <c r="J107" s="115"/>
      <c r="K107" s="115"/>
      <c r="L107" s="115">
        <v>0</v>
      </c>
      <c r="M107" s="115"/>
      <c r="N107" s="119"/>
      <c r="O107" s="119"/>
      <c r="P107" s="119"/>
      <c r="Q107" s="115">
        <f t="shared" si="4"/>
        <v>0</v>
      </c>
      <c r="R107" s="108" t="s">
        <v>283</v>
      </c>
      <c r="S107" s="270"/>
      <c r="U107" s="253"/>
    </row>
    <row r="108" spans="1:21" ht="12.75">
      <c r="A108" s="116">
        <f t="shared" si="5"/>
        <v>102</v>
      </c>
      <c r="B108" s="111" t="s">
        <v>819</v>
      </c>
      <c r="C108" s="117">
        <v>21152</v>
      </c>
      <c r="D108" s="128">
        <v>2</v>
      </c>
      <c r="E108" s="119"/>
      <c r="F108" s="119"/>
      <c r="G108" s="119"/>
      <c r="H108" s="151">
        <v>0</v>
      </c>
      <c r="I108" s="119"/>
      <c r="J108" s="119"/>
      <c r="K108" s="119"/>
      <c r="L108" s="119"/>
      <c r="M108" s="119"/>
      <c r="N108" s="119"/>
      <c r="O108" s="119"/>
      <c r="P108" s="119"/>
      <c r="Q108" s="119">
        <f t="shared" si="4"/>
        <v>0</v>
      </c>
      <c r="R108" s="256" t="s">
        <v>820</v>
      </c>
      <c r="S108" s="270"/>
      <c r="U108" s="253"/>
    </row>
    <row r="109" spans="1:21" ht="12.75">
      <c r="A109" s="116">
        <f t="shared" si="5"/>
        <v>103</v>
      </c>
      <c r="B109" s="111" t="s">
        <v>158</v>
      </c>
      <c r="C109" s="111">
        <v>21316</v>
      </c>
      <c r="D109" s="122" t="s">
        <v>584</v>
      </c>
      <c r="E109" s="136"/>
      <c r="F109" s="136"/>
      <c r="G109" s="136"/>
      <c r="H109" s="234">
        <v>0</v>
      </c>
      <c r="I109" s="136"/>
      <c r="J109" s="136"/>
      <c r="K109" s="136"/>
      <c r="L109" s="136"/>
      <c r="M109" s="136"/>
      <c r="N109" s="142"/>
      <c r="O109" s="142"/>
      <c r="P109" s="142"/>
      <c r="Q109" s="115">
        <f t="shared" si="4"/>
        <v>0</v>
      </c>
      <c r="R109" s="108" t="s">
        <v>283</v>
      </c>
      <c r="S109" s="273"/>
      <c r="U109" s="253"/>
    </row>
    <row r="110" spans="1:21" ht="12.75">
      <c r="A110" s="116">
        <f t="shared" si="5"/>
        <v>104</v>
      </c>
      <c r="B110" s="111" t="s">
        <v>821</v>
      </c>
      <c r="C110" s="117">
        <v>12007</v>
      </c>
      <c r="D110" s="128">
        <v>0</v>
      </c>
      <c r="E110" s="119"/>
      <c r="F110" s="119"/>
      <c r="G110" s="119"/>
      <c r="H110" s="151">
        <v>0</v>
      </c>
      <c r="I110" s="119"/>
      <c r="J110" s="119"/>
      <c r="K110" s="119"/>
      <c r="L110" s="119"/>
      <c r="M110" s="119"/>
      <c r="N110" s="119"/>
      <c r="O110" s="119"/>
      <c r="P110" s="119"/>
      <c r="Q110" s="119">
        <f t="shared" si="4"/>
        <v>0</v>
      </c>
      <c r="R110" s="256" t="s">
        <v>822</v>
      </c>
      <c r="S110" s="270"/>
      <c r="U110" s="253"/>
    </row>
    <row r="111" spans="1:21" ht="12.75">
      <c r="A111" s="116">
        <f t="shared" si="5"/>
        <v>105</v>
      </c>
      <c r="B111" s="111" t="s">
        <v>823</v>
      </c>
      <c r="C111" s="117">
        <v>21842</v>
      </c>
      <c r="D111" s="128">
        <v>0</v>
      </c>
      <c r="E111" s="113"/>
      <c r="F111" s="119"/>
      <c r="G111" s="119"/>
      <c r="H111" s="151">
        <v>0</v>
      </c>
      <c r="I111" s="119"/>
      <c r="J111" s="119"/>
      <c r="K111" s="119"/>
      <c r="L111" s="119"/>
      <c r="M111" s="119"/>
      <c r="N111" s="119"/>
      <c r="O111" s="119"/>
      <c r="P111" s="119"/>
      <c r="Q111" s="119">
        <f t="shared" si="4"/>
        <v>0</v>
      </c>
      <c r="R111" s="108"/>
      <c r="S111" s="270"/>
      <c r="U111" s="253"/>
    </row>
    <row r="112" spans="1:21" ht="12.75">
      <c r="A112" s="116">
        <f t="shared" si="5"/>
        <v>106</v>
      </c>
      <c r="B112" s="111" t="s">
        <v>824</v>
      </c>
      <c r="C112" s="117">
        <v>21843</v>
      </c>
      <c r="D112" s="128">
        <v>0</v>
      </c>
      <c r="E112" s="113"/>
      <c r="F112" s="119"/>
      <c r="G112" s="119"/>
      <c r="H112" s="151">
        <v>0</v>
      </c>
      <c r="I112" s="119"/>
      <c r="J112" s="119"/>
      <c r="K112" s="119"/>
      <c r="L112" s="119"/>
      <c r="M112" s="119"/>
      <c r="N112" s="119"/>
      <c r="O112" s="119"/>
      <c r="P112" s="119"/>
      <c r="Q112" s="119">
        <f t="shared" si="4"/>
        <v>0</v>
      </c>
      <c r="R112" s="108"/>
      <c r="S112" s="270"/>
      <c r="U112" s="253"/>
    </row>
    <row r="113" spans="1:21" ht="12.75">
      <c r="A113" s="116">
        <f t="shared" si="5"/>
        <v>107</v>
      </c>
      <c r="B113" s="111" t="s">
        <v>825</v>
      </c>
      <c r="C113" s="111">
        <v>21844</v>
      </c>
      <c r="D113" s="122" t="s">
        <v>585</v>
      </c>
      <c r="E113" s="115">
        <v>254.16</v>
      </c>
      <c r="F113" s="115">
        <v>254.16</v>
      </c>
      <c r="G113" s="115">
        <v>254.16</v>
      </c>
      <c r="H113" s="151">
        <v>0</v>
      </c>
      <c r="I113" s="115">
        <v>254.16</v>
      </c>
      <c r="J113" s="115">
        <v>254.16</v>
      </c>
      <c r="K113" s="115">
        <v>276.48</v>
      </c>
      <c r="L113" s="115">
        <v>276.48</v>
      </c>
      <c r="M113" s="115">
        <v>276.48</v>
      </c>
      <c r="N113" s="115">
        <v>276.48</v>
      </c>
      <c r="O113" s="115">
        <v>276.48</v>
      </c>
      <c r="P113" s="115">
        <v>276.48</v>
      </c>
      <c r="Q113" s="115">
        <f t="shared" si="4"/>
        <v>2929.68</v>
      </c>
      <c r="R113" s="108" t="s">
        <v>871</v>
      </c>
      <c r="S113" s="270"/>
      <c r="U113" s="253"/>
    </row>
    <row r="114" spans="1:21" ht="12.75">
      <c r="A114" s="116">
        <f t="shared" si="5"/>
        <v>108</v>
      </c>
      <c r="B114" s="111" t="s">
        <v>826</v>
      </c>
      <c r="C114" s="111">
        <v>21845</v>
      </c>
      <c r="D114" s="122">
        <v>3</v>
      </c>
      <c r="E114" s="113">
        <f>ROUND(0.04*521.42,0)*3.53*3</f>
        <v>222.39</v>
      </c>
      <c r="F114" s="114">
        <f>ROUND(0.04*409.08,0)*3.53*3</f>
        <v>169.44</v>
      </c>
      <c r="G114" s="114">
        <f>ROUND(0.04*366.33,0)*3.53*3</f>
        <v>158.85</v>
      </c>
      <c r="H114" s="151">
        <v>0</v>
      </c>
      <c r="I114" s="114">
        <f>ROUND(0.04*168.83,0)*3.53*3</f>
        <v>74.13</v>
      </c>
      <c r="J114" s="114">
        <f>ROUND(0.04*102.5,0)*3.53*3</f>
        <v>42.36</v>
      </c>
      <c r="K114" s="114">
        <f>ROUND(0.04*143.25,0)*3.84*3</f>
        <v>69.12</v>
      </c>
      <c r="L114" s="114">
        <f>(0.04*235.08)*3.84*3</f>
        <v>108.324864</v>
      </c>
      <c r="M114" s="114">
        <f>(0.04*314.166)*3.84*3</f>
        <v>144.7676928</v>
      </c>
      <c r="N114" s="261">
        <f>(0.04*430.833)*3.84*3</f>
        <v>198.52784640000004</v>
      </c>
      <c r="O114" s="261"/>
      <c r="P114" s="261"/>
      <c r="Q114" s="115">
        <f t="shared" si="4"/>
        <v>1187.9104032</v>
      </c>
      <c r="R114" s="108"/>
      <c r="S114" s="270"/>
      <c r="U114" s="253"/>
    </row>
    <row r="115" spans="1:21" ht="12.75">
      <c r="A115" s="116">
        <f t="shared" si="5"/>
        <v>109</v>
      </c>
      <c r="B115" s="111" t="s">
        <v>827</v>
      </c>
      <c r="C115" s="117">
        <v>21846</v>
      </c>
      <c r="D115" s="128">
        <v>0</v>
      </c>
      <c r="E115" s="113"/>
      <c r="F115" s="119"/>
      <c r="G115" s="119"/>
      <c r="H115" s="151">
        <v>0</v>
      </c>
      <c r="I115" s="119"/>
      <c r="J115" s="119"/>
      <c r="K115" s="119"/>
      <c r="L115" s="119"/>
      <c r="M115" s="119"/>
      <c r="N115" s="119"/>
      <c r="O115" s="119"/>
      <c r="P115" s="119"/>
      <c r="Q115" s="119">
        <f t="shared" si="4"/>
        <v>0</v>
      </c>
      <c r="R115" s="108"/>
      <c r="S115" s="270"/>
      <c r="U115" s="253"/>
    </row>
    <row r="116" spans="1:21" ht="12.75">
      <c r="A116" s="116">
        <f t="shared" si="5"/>
        <v>110</v>
      </c>
      <c r="B116" s="111" t="s">
        <v>165</v>
      </c>
      <c r="C116" s="111">
        <v>21847</v>
      </c>
      <c r="D116" s="122">
        <v>0</v>
      </c>
      <c r="E116" s="113"/>
      <c r="F116" s="115"/>
      <c r="G116" s="115"/>
      <c r="H116" s="151">
        <v>0</v>
      </c>
      <c r="I116" s="115"/>
      <c r="J116" s="115"/>
      <c r="K116" s="115"/>
      <c r="L116" s="115"/>
      <c r="M116" s="115"/>
      <c r="N116" s="115"/>
      <c r="O116" s="115"/>
      <c r="P116" s="115"/>
      <c r="Q116" s="115">
        <f t="shared" si="4"/>
        <v>0</v>
      </c>
      <c r="R116" s="108"/>
      <c r="S116" s="270"/>
      <c r="U116" s="253"/>
    </row>
    <row r="117" spans="1:21" ht="12.75">
      <c r="A117" s="116">
        <f t="shared" si="5"/>
        <v>111</v>
      </c>
      <c r="B117" s="111" t="s">
        <v>648</v>
      </c>
      <c r="C117" s="121">
        <v>21848</v>
      </c>
      <c r="D117" s="229" t="s">
        <v>717</v>
      </c>
      <c r="E117" s="115">
        <v>0</v>
      </c>
      <c r="F117" s="115">
        <v>0</v>
      </c>
      <c r="G117" s="115">
        <v>0</v>
      </c>
      <c r="H117" s="151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9">
        <v>0</v>
      </c>
      <c r="O117" s="119">
        <v>0</v>
      </c>
      <c r="P117" s="119">
        <v>0</v>
      </c>
      <c r="Q117" s="115">
        <f t="shared" si="4"/>
        <v>0</v>
      </c>
      <c r="R117" s="108"/>
      <c r="S117" s="270"/>
      <c r="U117" s="253"/>
    </row>
    <row r="118" spans="1:21" ht="12.75">
      <c r="A118" s="116">
        <f t="shared" si="5"/>
        <v>112</v>
      </c>
      <c r="B118" s="111" t="s">
        <v>828</v>
      </c>
      <c r="C118" s="121">
        <v>21849</v>
      </c>
      <c r="D118" s="125"/>
      <c r="E118" s="125"/>
      <c r="F118" s="125"/>
      <c r="G118" s="125"/>
      <c r="H118" s="151">
        <v>0</v>
      </c>
      <c r="I118" s="125"/>
      <c r="J118" s="125"/>
      <c r="K118" s="125"/>
      <c r="L118" s="125"/>
      <c r="M118" s="125"/>
      <c r="N118" s="125"/>
      <c r="O118" s="301"/>
      <c r="P118" s="301"/>
      <c r="Q118" s="115">
        <f t="shared" si="4"/>
        <v>0</v>
      </c>
      <c r="R118" s="99" t="s">
        <v>284</v>
      </c>
      <c r="S118" s="270"/>
      <c r="U118" s="253"/>
    </row>
    <row r="119" spans="1:21" ht="12.75">
      <c r="A119" s="116">
        <f t="shared" si="5"/>
        <v>113</v>
      </c>
      <c r="B119" s="111" t="s">
        <v>649</v>
      </c>
      <c r="C119" s="121">
        <v>21850</v>
      </c>
      <c r="D119" s="229" t="s">
        <v>717</v>
      </c>
      <c r="E119" s="115">
        <v>0</v>
      </c>
      <c r="F119" s="115">
        <v>0</v>
      </c>
      <c r="G119" s="115">
        <v>0</v>
      </c>
      <c r="H119" s="151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9">
        <v>0</v>
      </c>
      <c r="O119" s="119">
        <v>0</v>
      </c>
      <c r="P119" s="119">
        <v>0</v>
      </c>
      <c r="Q119" s="115">
        <f t="shared" si="4"/>
        <v>0</v>
      </c>
      <c r="S119" s="270"/>
      <c r="U119" s="253"/>
    </row>
    <row r="120" spans="1:21" ht="12.75">
      <c r="A120" s="116">
        <f t="shared" si="5"/>
        <v>114</v>
      </c>
      <c r="B120" s="111" t="s">
        <v>166</v>
      </c>
      <c r="C120" s="111">
        <v>21853</v>
      </c>
      <c r="D120" s="122">
        <v>0</v>
      </c>
      <c r="E120" s="113"/>
      <c r="F120" s="115"/>
      <c r="G120" s="115"/>
      <c r="H120" s="151">
        <v>0</v>
      </c>
      <c r="I120" s="115"/>
      <c r="J120" s="115"/>
      <c r="K120" s="115"/>
      <c r="L120" s="115"/>
      <c r="M120" s="115"/>
      <c r="N120" s="115"/>
      <c r="O120" s="299"/>
      <c r="P120" s="299"/>
      <c r="Q120" s="115">
        <f t="shared" si="4"/>
        <v>0</v>
      </c>
      <c r="R120" s="99" t="s">
        <v>280</v>
      </c>
      <c r="S120" s="270"/>
      <c r="U120" s="253"/>
    </row>
    <row r="121" spans="1:21" ht="12.75">
      <c r="A121" s="116">
        <f t="shared" si="5"/>
        <v>115</v>
      </c>
      <c r="B121" s="111" t="s">
        <v>829</v>
      </c>
      <c r="C121" s="111">
        <v>21330</v>
      </c>
      <c r="D121" s="122">
        <v>0</v>
      </c>
      <c r="E121" s="113"/>
      <c r="F121" s="115"/>
      <c r="G121" s="115"/>
      <c r="H121" s="151">
        <v>0</v>
      </c>
      <c r="I121" s="115"/>
      <c r="J121" s="115"/>
      <c r="K121" s="115"/>
      <c r="L121" s="115"/>
      <c r="M121" s="115"/>
      <c r="N121" s="115"/>
      <c r="O121" s="299"/>
      <c r="P121" s="299"/>
      <c r="Q121" s="115">
        <f t="shared" si="4"/>
        <v>0</v>
      </c>
      <c r="R121" s="219" t="s">
        <v>275</v>
      </c>
      <c r="S121" s="270"/>
      <c r="U121" s="253"/>
    </row>
    <row r="122" spans="1:21" ht="12.75">
      <c r="A122" s="116">
        <f t="shared" si="5"/>
        <v>116</v>
      </c>
      <c r="B122" s="111" t="s">
        <v>650</v>
      </c>
      <c r="C122" s="121">
        <v>23637</v>
      </c>
      <c r="D122" s="122" t="s">
        <v>717</v>
      </c>
      <c r="E122" s="151">
        <v>0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0</v>
      </c>
      <c r="N122" s="231">
        <v>0</v>
      </c>
      <c r="O122" s="231">
        <v>0</v>
      </c>
      <c r="P122" s="231">
        <v>0</v>
      </c>
      <c r="Q122" s="115">
        <f t="shared" si="4"/>
        <v>0</v>
      </c>
      <c r="R122" s="256" t="s">
        <v>723</v>
      </c>
      <c r="S122" s="270"/>
      <c r="U122" s="253"/>
    </row>
    <row r="123" spans="1:21" ht="12.75">
      <c r="A123" s="116">
        <f t="shared" si="5"/>
        <v>117</v>
      </c>
      <c r="B123" s="111" t="s">
        <v>645</v>
      </c>
      <c r="C123" s="121">
        <v>10021</v>
      </c>
      <c r="D123" s="122" t="s">
        <v>717</v>
      </c>
      <c r="E123" s="133">
        <f>48.2*2.83*3.53</f>
        <v>481.51318</v>
      </c>
      <c r="F123" s="133">
        <f>48.2*2.83*3.53</f>
        <v>481.51318</v>
      </c>
      <c r="G123" s="133">
        <f>48.2*2.83*3.53</f>
        <v>481.51318</v>
      </c>
      <c r="H123" s="151">
        <v>0</v>
      </c>
      <c r="I123" s="114">
        <v>5013.75</v>
      </c>
      <c r="J123" s="114">
        <v>0</v>
      </c>
      <c r="K123" s="114">
        <v>2782.31</v>
      </c>
      <c r="L123" s="114">
        <v>3325.57</v>
      </c>
      <c r="M123" s="114">
        <v>3124.32</v>
      </c>
      <c r="N123" s="114">
        <v>3720.02</v>
      </c>
      <c r="O123" s="114">
        <v>3041.98</v>
      </c>
      <c r="P123" s="114">
        <v>2580.6</v>
      </c>
      <c r="Q123" s="115">
        <f t="shared" si="4"/>
        <v>25033.089539999997</v>
      </c>
      <c r="R123" s="162" t="s">
        <v>722</v>
      </c>
      <c r="S123" s="270"/>
      <c r="U123" s="253"/>
    </row>
    <row r="124" spans="1:21" ht="12.75">
      <c r="A124" s="116">
        <f t="shared" si="5"/>
        <v>118</v>
      </c>
      <c r="B124" s="111" t="s">
        <v>830</v>
      </c>
      <c r="C124" s="111">
        <v>12015</v>
      </c>
      <c r="D124" s="122">
        <v>6</v>
      </c>
      <c r="E124" s="113">
        <f>ROUND(0.04*521.42,0)*3.53*6</f>
        <v>444.78</v>
      </c>
      <c r="F124" s="114">
        <f>ROUND(0.04*409.08,0)*3.53*6</f>
        <v>338.88</v>
      </c>
      <c r="G124" s="114">
        <f>ROUND(0.04*366.33,0)*3.53*6</f>
        <v>317.7</v>
      </c>
      <c r="H124" s="151">
        <v>0</v>
      </c>
      <c r="I124" s="114">
        <f>ROUND(0.04*168.83,0)*3.53*6</f>
        <v>148.26</v>
      </c>
      <c r="J124" s="114">
        <f>ROUND(0.04*102.5,0)*3.53*6</f>
        <v>84.72</v>
      </c>
      <c r="K124" s="114">
        <f>ROUND(0.04*143.25,0)*3.84*6</f>
        <v>138.24</v>
      </c>
      <c r="L124" s="114">
        <f>(0.04*235.08)*3.84*6</f>
        <v>216.649728</v>
      </c>
      <c r="M124" s="114">
        <f>(0.04*314.166)*3.84*6</f>
        <v>289.5353856</v>
      </c>
      <c r="N124" s="261">
        <f>(0.04*430.833)*3.84*6</f>
        <v>397.0556928000001</v>
      </c>
      <c r="O124" s="261"/>
      <c r="P124" s="261"/>
      <c r="Q124" s="115">
        <f t="shared" si="4"/>
        <v>2375.8208064</v>
      </c>
      <c r="R124" s="108"/>
      <c r="S124" s="270"/>
      <c r="U124" s="253"/>
    </row>
    <row r="125" spans="1:21" ht="12.75">
      <c r="A125" s="116">
        <f t="shared" si="5"/>
        <v>119</v>
      </c>
      <c r="B125" s="111" t="s">
        <v>831</v>
      </c>
      <c r="C125" s="141">
        <v>10005</v>
      </c>
      <c r="D125" s="122" t="s">
        <v>586</v>
      </c>
      <c r="E125" s="115"/>
      <c r="F125" s="115"/>
      <c r="G125" s="115"/>
      <c r="H125" s="151">
        <v>0</v>
      </c>
      <c r="I125" s="115"/>
      <c r="J125" s="115"/>
      <c r="K125" s="115"/>
      <c r="L125" s="115"/>
      <c r="M125" s="115"/>
      <c r="N125" s="115"/>
      <c r="O125" s="115"/>
      <c r="P125" s="115"/>
      <c r="Q125" s="115">
        <f t="shared" si="4"/>
        <v>0</v>
      </c>
      <c r="R125" s="108"/>
      <c r="S125" s="270"/>
      <c r="U125" s="253"/>
    </row>
    <row r="126" spans="1:21" ht="12.75">
      <c r="A126" s="116">
        <f t="shared" si="5"/>
        <v>120</v>
      </c>
      <c r="B126" s="111" t="s">
        <v>832</v>
      </c>
      <c r="C126" s="111">
        <v>19498</v>
      </c>
      <c r="D126" s="129" t="s">
        <v>588</v>
      </c>
      <c r="E126" s="115">
        <v>9569.43</v>
      </c>
      <c r="F126" s="115">
        <v>7639.41</v>
      </c>
      <c r="G126" s="115">
        <v>7127.1900000000005</v>
      </c>
      <c r="H126" s="151">
        <v>0</v>
      </c>
      <c r="I126" s="115">
        <v>9515.46</v>
      </c>
      <c r="J126" s="115">
        <v>9030.78</v>
      </c>
      <c r="K126" s="115">
        <v>10398.78</v>
      </c>
      <c r="L126" s="115">
        <v>10159.53</v>
      </c>
      <c r="M126" s="115">
        <v>11136.42</v>
      </c>
      <c r="N126" s="115">
        <v>11593.77</v>
      </c>
      <c r="O126" s="115">
        <v>11427.48</v>
      </c>
      <c r="P126" s="115">
        <v>8957.28</v>
      </c>
      <c r="Q126" s="115">
        <f t="shared" si="4"/>
        <v>106555.53</v>
      </c>
      <c r="R126" s="108"/>
      <c r="S126" s="270"/>
      <c r="U126" s="253"/>
    </row>
    <row r="127" spans="1:21" ht="12.75">
      <c r="A127" s="116">
        <f t="shared" si="5"/>
        <v>121</v>
      </c>
      <c r="B127" s="111" t="s">
        <v>833</v>
      </c>
      <c r="C127" s="111">
        <v>12501</v>
      </c>
      <c r="D127" s="129" t="s">
        <v>588</v>
      </c>
      <c r="E127" s="115">
        <v>527.41</v>
      </c>
      <c r="F127" s="115">
        <v>5360.5</v>
      </c>
      <c r="G127" s="115">
        <v>8086.9</v>
      </c>
      <c r="H127" s="151">
        <v>0</v>
      </c>
      <c r="I127" s="115">
        <v>6802.78</v>
      </c>
      <c r="J127" s="115">
        <v>61475.89</v>
      </c>
      <c r="K127" s="115">
        <v>13658.55</v>
      </c>
      <c r="L127" s="115">
        <v>11510.35</v>
      </c>
      <c r="M127" s="115">
        <v>13206.6</v>
      </c>
      <c r="N127" s="115">
        <v>15569.62</v>
      </c>
      <c r="O127" s="115">
        <v>15542.25</v>
      </c>
      <c r="P127" s="115">
        <v>13755.38</v>
      </c>
      <c r="Q127" s="115">
        <f t="shared" si="4"/>
        <v>165496.23</v>
      </c>
      <c r="R127" s="108"/>
      <c r="S127" s="270"/>
      <c r="U127" s="253"/>
    </row>
    <row r="128" spans="1:21" ht="12.75">
      <c r="A128" s="116">
        <f t="shared" si="5"/>
        <v>122</v>
      </c>
      <c r="B128" s="111" t="s">
        <v>834</v>
      </c>
      <c r="C128" s="111">
        <v>12502</v>
      </c>
      <c r="D128" s="129" t="s">
        <v>588</v>
      </c>
      <c r="E128" s="115">
        <v>3027.17</v>
      </c>
      <c r="F128" s="115">
        <v>2850.65</v>
      </c>
      <c r="G128" s="115">
        <v>2900.35</v>
      </c>
      <c r="H128" s="151">
        <v>0</v>
      </c>
      <c r="I128" s="115">
        <v>1515.36</v>
      </c>
      <c r="J128" s="115">
        <v>15647.4</v>
      </c>
      <c r="K128" s="115">
        <v>2728.49</v>
      </c>
      <c r="L128" s="115">
        <v>2766.67</v>
      </c>
      <c r="M128" s="115">
        <v>3129.38</v>
      </c>
      <c r="N128" s="115">
        <v>4965.7</v>
      </c>
      <c r="O128" s="115">
        <v>4946.15</v>
      </c>
      <c r="P128" s="115">
        <v>4214.98</v>
      </c>
      <c r="Q128" s="115">
        <f t="shared" si="4"/>
        <v>48692.29999999999</v>
      </c>
      <c r="R128" s="108"/>
      <c r="S128" s="270"/>
      <c r="U128" s="253"/>
    </row>
    <row r="129" spans="1:21" ht="12.75">
      <c r="A129" s="116">
        <f t="shared" si="5"/>
        <v>123</v>
      </c>
      <c r="B129" s="111" t="s">
        <v>835</v>
      </c>
      <c r="C129" s="111">
        <v>12503</v>
      </c>
      <c r="D129" s="129" t="s">
        <v>588</v>
      </c>
      <c r="E129" s="115">
        <v>3600.05</v>
      </c>
      <c r="F129" s="115">
        <v>3351.2</v>
      </c>
      <c r="G129" s="115">
        <v>3212.75</v>
      </c>
      <c r="H129" s="151">
        <v>0</v>
      </c>
      <c r="I129" s="115">
        <v>2686.7</v>
      </c>
      <c r="J129" s="115">
        <v>3034.27</v>
      </c>
      <c r="K129" s="115">
        <v>1437.04</v>
      </c>
      <c r="L129" s="115">
        <v>2797.03</v>
      </c>
      <c r="M129" s="115">
        <v>3410.44</v>
      </c>
      <c r="N129" s="115">
        <v>4476.95</v>
      </c>
      <c r="O129" s="115">
        <v>4891.41</v>
      </c>
      <c r="P129" s="115">
        <v>4312.73</v>
      </c>
      <c r="Q129" s="115">
        <f t="shared" si="4"/>
        <v>37210.56999999999</v>
      </c>
      <c r="R129" s="108"/>
      <c r="S129" s="270"/>
      <c r="U129" s="253"/>
    </row>
    <row r="130" spans="1:21" ht="12.75">
      <c r="A130" s="116">
        <f t="shared" si="5"/>
        <v>124</v>
      </c>
      <c r="B130" s="111" t="s">
        <v>836</v>
      </c>
      <c r="C130" s="111">
        <v>12504</v>
      </c>
      <c r="D130" s="129" t="s">
        <v>588</v>
      </c>
      <c r="E130" s="115">
        <v>3455.76</v>
      </c>
      <c r="F130" s="115">
        <v>3212.75</v>
      </c>
      <c r="G130" s="115">
        <v>2911</v>
      </c>
      <c r="H130" s="151">
        <v>0</v>
      </c>
      <c r="I130" s="115">
        <v>2417.33</v>
      </c>
      <c r="J130" s="115">
        <v>2202.67</v>
      </c>
      <c r="K130" s="115">
        <v>2341.63</v>
      </c>
      <c r="L130" s="115">
        <v>2311.27</v>
      </c>
      <c r="M130" s="115">
        <v>3191.71</v>
      </c>
      <c r="N130" s="115">
        <v>2901.22</v>
      </c>
      <c r="O130" s="115">
        <v>5165.11</v>
      </c>
      <c r="P130" s="115">
        <v>3292.22</v>
      </c>
      <c r="Q130" s="115">
        <f t="shared" si="4"/>
        <v>33402.67</v>
      </c>
      <c r="R130" s="108"/>
      <c r="S130" s="270"/>
      <c r="U130" s="253"/>
    </row>
    <row r="131" spans="1:21" ht="12.75">
      <c r="A131" s="116">
        <f t="shared" si="5"/>
        <v>125</v>
      </c>
      <c r="B131" s="111" t="s">
        <v>837</v>
      </c>
      <c r="C131" s="117">
        <v>12011</v>
      </c>
      <c r="D131" s="128">
        <v>0</v>
      </c>
      <c r="E131" s="119"/>
      <c r="F131" s="119"/>
      <c r="G131" s="119"/>
      <c r="H131" s="151">
        <v>0</v>
      </c>
      <c r="I131" s="119"/>
      <c r="J131" s="119"/>
      <c r="K131" s="119"/>
      <c r="L131" s="119"/>
      <c r="M131" s="119"/>
      <c r="N131" s="119"/>
      <c r="O131" s="119"/>
      <c r="P131" s="119"/>
      <c r="Q131" s="119">
        <f t="shared" si="4"/>
        <v>0</v>
      </c>
      <c r="R131" s="108"/>
      <c r="S131" s="270"/>
      <c r="U131" s="253"/>
    </row>
    <row r="132" spans="1:21" ht="12.75">
      <c r="A132" s="116">
        <f t="shared" si="5"/>
        <v>126</v>
      </c>
      <c r="B132" s="111" t="s">
        <v>838</v>
      </c>
      <c r="C132" s="117">
        <v>21442</v>
      </c>
      <c r="D132" s="128">
        <v>0</v>
      </c>
      <c r="E132" s="113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>
        <f t="shared" si="4"/>
        <v>0</v>
      </c>
      <c r="R132" s="108"/>
      <c r="S132" s="270"/>
      <c r="U132" s="253"/>
    </row>
    <row r="133" spans="1:21" ht="12.75">
      <c r="A133" s="116">
        <f t="shared" si="5"/>
        <v>127</v>
      </c>
      <c r="B133" s="111" t="s">
        <v>177</v>
      </c>
      <c r="C133" s="111">
        <v>12019</v>
      </c>
      <c r="D133" s="122" t="s">
        <v>584</v>
      </c>
      <c r="E133" s="136"/>
      <c r="F133" s="115"/>
      <c r="G133" s="114">
        <f>ROUND(0.04*366.33,0)*3.53*3</f>
        <v>158.85</v>
      </c>
      <c r="H133" s="114">
        <f>ROUND(0.04*254.17,0)*3.53*3</f>
        <v>105.89999999999999</v>
      </c>
      <c r="I133" s="114">
        <f>ROUND(0.04*168.83,0)*3.53*3</f>
        <v>74.13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5">
        <f t="shared" si="4"/>
        <v>338.88</v>
      </c>
      <c r="R133" s="108"/>
      <c r="S133" s="270"/>
      <c r="U133" s="253"/>
    </row>
    <row r="134" spans="1:21" ht="12.75">
      <c r="A134" s="116">
        <f t="shared" si="5"/>
        <v>128</v>
      </c>
      <c r="B134" s="111" t="s">
        <v>839</v>
      </c>
      <c r="C134" s="117">
        <v>12020</v>
      </c>
      <c r="D134" s="128">
        <v>3</v>
      </c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>
        <f t="shared" si="4"/>
        <v>0</v>
      </c>
      <c r="R134" s="124" t="s">
        <v>840</v>
      </c>
      <c r="S134" s="270"/>
      <c r="U134" s="253"/>
    </row>
    <row r="135" spans="1:21" ht="12.75">
      <c r="A135" s="116">
        <f t="shared" si="5"/>
        <v>129</v>
      </c>
      <c r="B135" s="111" t="s">
        <v>841</v>
      </c>
      <c r="C135" s="111">
        <v>12021</v>
      </c>
      <c r="D135" s="122">
        <v>3</v>
      </c>
      <c r="E135" s="113">
        <f>ROUND(0.04*521.42,0)*3.53*3</f>
        <v>222.39</v>
      </c>
      <c r="F135" s="114">
        <f>ROUND(0.04*409.08,0)*3.53*3</f>
        <v>169.44</v>
      </c>
      <c r="G135" s="114">
        <f>ROUND(0.04*366.33,0)*3.53*3</f>
        <v>158.85</v>
      </c>
      <c r="H135" s="114">
        <f>ROUND(0.04*254.17,0)*3.53*3</f>
        <v>105.89999999999999</v>
      </c>
      <c r="I135" s="114">
        <f>ROUND(0.04*168.83,0)*3.53*3</f>
        <v>74.13</v>
      </c>
      <c r="J135" s="114">
        <f>ROUND(0.04*102.5,0)*3.53*3</f>
        <v>42.36</v>
      </c>
      <c r="K135" s="114">
        <f>ROUND(0.04*143.25,0)*3.84*3</f>
        <v>69.12</v>
      </c>
      <c r="L135" s="114">
        <f>(0.04*235.08)*3.84*3</f>
        <v>108.324864</v>
      </c>
      <c r="M135" s="114">
        <f>(0.04*314.166)*3.84*3</f>
        <v>144.7676928</v>
      </c>
      <c r="N135" s="131">
        <f>9.5*2.83*3.84</f>
        <v>103.2384</v>
      </c>
      <c r="O135" s="131">
        <f>9.5*2.83*3.84</f>
        <v>103.2384</v>
      </c>
      <c r="P135" s="298"/>
      <c r="Q135" s="115">
        <f t="shared" si="4"/>
        <v>1301.7593568</v>
      </c>
      <c r="R135" s="290" t="s">
        <v>862</v>
      </c>
      <c r="S135" s="270"/>
      <c r="U135" s="253"/>
    </row>
    <row r="136" spans="1:21" ht="12.75">
      <c r="A136" s="116">
        <f t="shared" si="5"/>
        <v>130</v>
      </c>
      <c r="B136" s="111" t="s">
        <v>651</v>
      </c>
      <c r="C136" s="111">
        <v>22139</v>
      </c>
      <c r="D136" s="122" t="s">
        <v>717</v>
      </c>
      <c r="E136" s="113"/>
      <c r="F136" s="115"/>
      <c r="G136" s="115"/>
      <c r="H136" s="115"/>
      <c r="I136" s="115"/>
      <c r="J136" s="115"/>
      <c r="K136" s="115"/>
      <c r="L136" s="115"/>
      <c r="M136" s="115"/>
      <c r="N136" s="115"/>
      <c r="O136" s="119"/>
      <c r="P136" s="298"/>
      <c r="Q136" s="115">
        <f aca="true" t="shared" si="10" ref="Q136:Q199">E136+F136+G136+H136+I136+J136+K136+L136+M136+N136+O136+P136</f>
        <v>0</v>
      </c>
      <c r="R136" s="124" t="s">
        <v>716</v>
      </c>
      <c r="S136" s="270"/>
      <c r="U136" s="253"/>
    </row>
    <row r="137" spans="1:21" ht="12.75">
      <c r="A137" s="116">
        <f aca="true" t="shared" si="11" ref="A137:A200">A136+1</f>
        <v>131</v>
      </c>
      <c r="B137" s="111" t="s">
        <v>842</v>
      </c>
      <c r="C137" s="111">
        <v>21450</v>
      </c>
      <c r="D137" s="122">
        <v>2</v>
      </c>
      <c r="E137" s="113">
        <f>ROUND(0.04*521.42,0)*3.53*2</f>
        <v>148.26</v>
      </c>
      <c r="F137" s="114">
        <f>ROUND(0.04*409.08,0)*3.53*2</f>
        <v>112.96</v>
      </c>
      <c r="G137" s="114">
        <f>ROUND(0.04*366.33,0)*3.53*2</f>
        <v>105.89999999999999</v>
      </c>
      <c r="H137" s="114">
        <f>ROUND(0.04*254.17,0)*3.53*2</f>
        <v>70.6</v>
      </c>
      <c r="I137" s="114">
        <f>ROUND(0.04*168.83,0)*3.53*2</f>
        <v>49.419999999999995</v>
      </c>
      <c r="J137" s="114">
        <f>ROUND(0.04*102.5,0)*3.53*2</f>
        <v>28.24</v>
      </c>
      <c r="K137" s="114">
        <f>ROUND(0.04*143.25,0)*3.84*2</f>
        <v>46.08</v>
      </c>
      <c r="L137" s="114">
        <f>(0.04*235.08)*3.84*2</f>
        <v>72.216576</v>
      </c>
      <c r="M137" s="240">
        <f>(0.04*314.166)*3.84*2</f>
        <v>96.5117952</v>
      </c>
      <c r="N137" s="131">
        <f>42.6*2.83*3.84</f>
        <v>462.94272</v>
      </c>
      <c r="O137" s="131">
        <f>42.6*2.83*3.84</f>
        <v>462.94272</v>
      </c>
      <c r="P137" s="131">
        <f>42.6*2.83*3.84</f>
        <v>462.94272</v>
      </c>
      <c r="Q137" s="115">
        <f t="shared" si="10"/>
        <v>2119.0165312</v>
      </c>
      <c r="R137" s="108"/>
      <c r="S137" s="270"/>
      <c r="U137" s="253"/>
    </row>
    <row r="138" spans="1:21" ht="12.75">
      <c r="A138" s="116">
        <f t="shared" si="11"/>
        <v>132</v>
      </c>
      <c r="B138" s="111" t="s">
        <v>652</v>
      </c>
      <c r="C138" s="121">
        <v>21336</v>
      </c>
      <c r="D138" s="230" t="s">
        <v>717</v>
      </c>
      <c r="E138" s="125"/>
      <c r="F138" s="125"/>
      <c r="G138" s="125"/>
      <c r="H138" s="151">
        <v>0</v>
      </c>
      <c r="I138" s="151">
        <v>0</v>
      </c>
      <c r="J138" s="151"/>
      <c r="K138" s="151"/>
      <c r="L138" s="151"/>
      <c r="M138" s="151"/>
      <c r="N138" s="151"/>
      <c r="O138" s="151"/>
      <c r="P138" s="295"/>
      <c r="Q138" s="115">
        <f t="shared" si="10"/>
        <v>0</v>
      </c>
      <c r="S138" s="270"/>
      <c r="U138" s="253"/>
    </row>
    <row r="139" spans="1:21" ht="12.75">
      <c r="A139" s="116">
        <f t="shared" si="11"/>
        <v>133</v>
      </c>
      <c r="B139" s="111" t="s">
        <v>843</v>
      </c>
      <c r="C139" s="111">
        <v>22173</v>
      </c>
      <c r="D139" s="122">
        <v>4</v>
      </c>
      <c r="E139" s="113">
        <f>ROUND(0.04*521.42,0)*3.53*4</f>
        <v>296.52</v>
      </c>
      <c r="F139" s="114">
        <f>ROUND(0.04*409.08,0)*3.53*4</f>
        <v>225.92</v>
      </c>
      <c r="G139" s="114">
        <f>ROUND(0.04*366.33,0)*3.53*4</f>
        <v>211.79999999999998</v>
      </c>
      <c r="H139" s="114">
        <f>ROUND(0.04*254.17,0)*3.53*4</f>
        <v>141.2</v>
      </c>
      <c r="I139" s="114">
        <f>ROUND(0.04*168.83,0)*3.53*4</f>
        <v>98.83999999999999</v>
      </c>
      <c r="J139" s="114">
        <f>ROUND(0.04*102.5,0)*3.53*4</f>
        <v>56.48</v>
      </c>
      <c r="K139" s="114">
        <f>ROUND(0.04*143.25,0)*3.84*4</f>
        <v>92.16</v>
      </c>
      <c r="L139" s="114">
        <f>(0.04*235.08)*3.84*4</f>
        <v>144.433152</v>
      </c>
      <c r="M139" s="114">
        <f>(0.04*314.166)*3.84*4</f>
        <v>193.0235904</v>
      </c>
      <c r="N139" s="261">
        <f>(0.04*430.833)*3.84*4</f>
        <v>264.70379520000006</v>
      </c>
      <c r="O139" s="261"/>
      <c r="P139" s="294"/>
      <c r="Q139" s="115">
        <f t="shared" si="10"/>
        <v>1725.0805375999998</v>
      </c>
      <c r="R139" s="162" t="s">
        <v>1384</v>
      </c>
      <c r="S139" s="270"/>
      <c r="U139" s="253"/>
    </row>
    <row r="140" spans="1:21" ht="12.75">
      <c r="A140" s="116">
        <f t="shared" si="11"/>
        <v>134</v>
      </c>
      <c r="B140" s="111" t="s">
        <v>653</v>
      </c>
      <c r="C140" s="121">
        <v>22170</v>
      </c>
      <c r="D140" s="122" t="s">
        <v>717</v>
      </c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294"/>
      <c r="Q140" s="115">
        <f t="shared" si="10"/>
        <v>0</v>
      </c>
      <c r="R140" s="162" t="s">
        <v>716</v>
      </c>
      <c r="S140" s="270"/>
      <c r="U140" s="253"/>
    </row>
    <row r="141" spans="1:21" ht="12.75">
      <c r="A141" s="116">
        <f t="shared" si="11"/>
        <v>135</v>
      </c>
      <c r="B141" s="111" t="s">
        <v>844</v>
      </c>
      <c r="C141" s="111">
        <v>22169</v>
      </c>
      <c r="D141" s="122">
        <v>4</v>
      </c>
      <c r="E141" s="113">
        <f>ROUND(0.04*521.42,0)*3.53*4</f>
        <v>296.52</v>
      </c>
      <c r="F141" s="114">
        <f>ROUND(0.04*409.08,0)*3.53*4</f>
        <v>225.92</v>
      </c>
      <c r="G141" s="114">
        <f>ROUND(0.04*366.33,0)*3.53*4</f>
        <v>211.79999999999998</v>
      </c>
      <c r="H141" s="114">
        <f>ROUND(0.04*254.17,0)*3.53*4</f>
        <v>141.2</v>
      </c>
      <c r="I141" s="114">
        <f>ROUND(0.04*168.83,0)*3.53*4</f>
        <v>98.83999999999999</v>
      </c>
      <c r="J141" s="114">
        <f>ROUND(0.04*102.5,0)*3.53*4</f>
        <v>56.48</v>
      </c>
      <c r="K141" s="114">
        <f>ROUND(0.04*143.25,0)*3.84*4</f>
        <v>92.16</v>
      </c>
      <c r="L141" s="114">
        <f>(0.04*235.08)*3.84*4</f>
        <v>144.433152</v>
      </c>
      <c r="M141" s="114">
        <f>(0.04*314.166)*3.84*4</f>
        <v>193.0235904</v>
      </c>
      <c r="N141" s="261">
        <f>(0.04*430.833)*3.84*4</f>
        <v>264.70379520000006</v>
      </c>
      <c r="O141" s="261"/>
      <c r="P141" s="298"/>
      <c r="Q141" s="115">
        <f t="shared" si="10"/>
        <v>1725.0805375999998</v>
      </c>
      <c r="R141" s="162" t="s">
        <v>1383</v>
      </c>
      <c r="S141" s="270"/>
      <c r="U141" s="253"/>
    </row>
    <row r="142" spans="1:21" ht="12.75">
      <c r="A142" s="116">
        <f t="shared" si="11"/>
        <v>136</v>
      </c>
      <c r="B142" s="111" t="s">
        <v>654</v>
      </c>
      <c r="C142" s="121">
        <v>22157</v>
      </c>
      <c r="D142" s="122" t="s">
        <v>717</v>
      </c>
      <c r="E142" s="134" t="s">
        <v>806</v>
      </c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296"/>
      <c r="Q142" s="115" t="e">
        <f t="shared" si="10"/>
        <v>#VALUE!</v>
      </c>
      <c r="R142" s="162" t="s">
        <v>716</v>
      </c>
      <c r="S142" s="270"/>
      <c r="U142" s="253"/>
    </row>
    <row r="143" spans="1:21" ht="12.75">
      <c r="A143" s="116">
        <f t="shared" si="11"/>
        <v>137</v>
      </c>
      <c r="B143" s="111" t="s">
        <v>655</v>
      </c>
      <c r="C143" s="121">
        <v>22158</v>
      </c>
      <c r="D143" s="122" t="s">
        <v>717</v>
      </c>
      <c r="E143" s="134" t="s">
        <v>809</v>
      </c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298"/>
      <c r="Q143" s="115" t="e">
        <f t="shared" si="10"/>
        <v>#VALUE!</v>
      </c>
      <c r="R143" s="162" t="s">
        <v>716</v>
      </c>
      <c r="S143" s="270"/>
      <c r="U143" s="253"/>
    </row>
    <row r="144" spans="1:21" ht="12.75">
      <c r="A144" s="116">
        <f t="shared" si="11"/>
        <v>138</v>
      </c>
      <c r="B144" s="111" t="s">
        <v>656</v>
      </c>
      <c r="C144" s="121">
        <v>22171</v>
      </c>
      <c r="D144" s="122" t="s">
        <v>717</v>
      </c>
      <c r="E144" s="134" t="s">
        <v>809</v>
      </c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9"/>
      <c r="Q144" s="115" t="e">
        <f t="shared" si="10"/>
        <v>#VALUE!</v>
      </c>
      <c r="R144" s="162" t="s">
        <v>716</v>
      </c>
      <c r="S144" s="270"/>
      <c r="U144" s="253"/>
    </row>
    <row r="145" spans="1:21" ht="12.75">
      <c r="A145" s="116">
        <f t="shared" si="11"/>
        <v>139</v>
      </c>
      <c r="B145" s="111" t="s">
        <v>845</v>
      </c>
      <c r="C145" s="111">
        <v>22159</v>
      </c>
      <c r="D145" s="122" t="s">
        <v>584</v>
      </c>
      <c r="E145" s="136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295"/>
      <c r="Q145" s="115">
        <f t="shared" si="10"/>
        <v>0</v>
      </c>
      <c r="R145" s="108"/>
      <c r="S145" s="270"/>
      <c r="U145" s="253"/>
    </row>
    <row r="146" spans="1:21" ht="12.75">
      <c r="A146" s="116">
        <f t="shared" si="11"/>
        <v>140</v>
      </c>
      <c r="B146" s="111" t="s">
        <v>657</v>
      </c>
      <c r="C146" s="121"/>
      <c r="D146" s="122" t="s">
        <v>717</v>
      </c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298"/>
      <c r="Q146" s="115">
        <f t="shared" si="10"/>
        <v>0</v>
      </c>
      <c r="R146" s="162" t="s">
        <v>716</v>
      </c>
      <c r="S146" s="270"/>
      <c r="U146" s="253"/>
    </row>
    <row r="147" spans="1:21" ht="12.75">
      <c r="A147" s="116">
        <f t="shared" si="11"/>
        <v>141</v>
      </c>
      <c r="B147" s="111" t="s">
        <v>846</v>
      </c>
      <c r="C147" s="111">
        <v>21519</v>
      </c>
      <c r="D147" s="122" t="s">
        <v>711</v>
      </c>
      <c r="E147" s="115">
        <v>1599.25</v>
      </c>
      <c r="F147" s="115">
        <v>1642.63</v>
      </c>
      <c r="G147" s="115">
        <v>1682.46</v>
      </c>
      <c r="H147" s="115">
        <v>1679.74</v>
      </c>
      <c r="I147" s="115">
        <v>1523.44</v>
      </c>
      <c r="J147" s="115">
        <v>1576.64</v>
      </c>
      <c r="K147" s="115">
        <v>1373.1</v>
      </c>
      <c r="L147" s="115">
        <v>1316.06</v>
      </c>
      <c r="M147" s="115">
        <v>1606.55</v>
      </c>
      <c r="N147" s="115">
        <v>1646.8</v>
      </c>
      <c r="O147" s="115">
        <v>1910.84</v>
      </c>
      <c r="P147" s="115">
        <v>2037.57</v>
      </c>
      <c r="Q147" s="115">
        <f t="shared" si="10"/>
        <v>19595.079999999998</v>
      </c>
      <c r="R147" s="108"/>
      <c r="S147" s="270"/>
      <c r="U147" s="253"/>
    </row>
    <row r="148" spans="1:21" ht="12.75">
      <c r="A148" s="116">
        <f t="shared" si="11"/>
        <v>142</v>
      </c>
      <c r="B148" s="111" t="s">
        <v>847</v>
      </c>
      <c r="C148" s="111">
        <v>21520</v>
      </c>
      <c r="D148" s="122" t="s">
        <v>712</v>
      </c>
      <c r="E148" s="115">
        <v>689.65</v>
      </c>
      <c r="F148" s="115">
        <v>625.07</v>
      </c>
      <c r="G148" s="115">
        <v>568.37</v>
      </c>
      <c r="H148" s="115">
        <v>425.54</v>
      </c>
      <c r="I148" s="115">
        <v>367.38</v>
      </c>
      <c r="J148" s="115">
        <v>291.17</v>
      </c>
      <c r="K148" s="115">
        <v>265.65</v>
      </c>
      <c r="L148" s="115">
        <v>489.44</v>
      </c>
      <c r="M148" s="115">
        <v>487.83</v>
      </c>
      <c r="N148" s="115">
        <v>531.3</v>
      </c>
      <c r="O148" s="115">
        <v>577.3</v>
      </c>
      <c r="P148" s="114">
        <v>890.33</v>
      </c>
      <c r="Q148" s="115">
        <f t="shared" si="10"/>
        <v>6209.030000000001</v>
      </c>
      <c r="R148" s="108"/>
      <c r="S148" s="270"/>
      <c r="U148" s="253"/>
    </row>
    <row r="149" spans="1:21" ht="12.75">
      <c r="A149" s="116">
        <f t="shared" si="11"/>
        <v>143</v>
      </c>
      <c r="B149" s="111" t="s">
        <v>848</v>
      </c>
      <c r="C149" s="111">
        <v>21521</v>
      </c>
      <c r="D149" s="122" t="s">
        <v>712</v>
      </c>
      <c r="E149" s="115">
        <v>760.7</v>
      </c>
      <c r="F149" s="115">
        <v>720.24</v>
      </c>
      <c r="G149" s="115">
        <v>624.4399999999999</v>
      </c>
      <c r="H149" s="115">
        <v>419.02</v>
      </c>
      <c r="I149" s="115">
        <v>486.67</v>
      </c>
      <c r="J149" s="115">
        <v>251.19</v>
      </c>
      <c r="K149" s="115">
        <v>253.69</v>
      </c>
      <c r="L149" s="115">
        <v>297.85</v>
      </c>
      <c r="M149" s="115">
        <v>527.16</v>
      </c>
      <c r="N149" s="115">
        <v>549.7</v>
      </c>
      <c r="O149" s="115">
        <v>727.95</v>
      </c>
      <c r="P149" s="115">
        <v>819.49</v>
      </c>
      <c r="Q149" s="115">
        <f t="shared" si="10"/>
        <v>6438.099999999999</v>
      </c>
      <c r="R149" s="108"/>
      <c r="S149" s="270"/>
      <c r="U149" s="253"/>
    </row>
    <row r="150" spans="1:21" ht="12.75">
      <c r="A150" s="116">
        <f t="shared" si="11"/>
        <v>144</v>
      </c>
      <c r="B150" s="111" t="s">
        <v>849</v>
      </c>
      <c r="C150" s="111">
        <v>21522</v>
      </c>
      <c r="D150" s="122" t="s">
        <v>712</v>
      </c>
      <c r="E150" s="115">
        <v>811.13</v>
      </c>
      <c r="F150" s="115">
        <v>767.17</v>
      </c>
      <c r="G150" s="115">
        <v>642.1899999999999</v>
      </c>
      <c r="H150" s="115">
        <v>479.52</v>
      </c>
      <c r="I150" s="115">
        <v>389.41</v>
      </c>
      <c r="J150" s="115">
        <v>549.94</v>
      </c>
      <c r="K150" s="115">
        <v>254.15</v>
      </c>
      <c r="L150" s="115">
        <v>313.49</v>
      </c>
      <c r="M150" s="115">
        <v>510.83</v>
      </c>
      <c r="N150" s="115">
        <v>610.42</v>
      </c>
      <c r="O150" s="115">
        <v>662.63</v>
      </c>
      <c r="P150" s="115">
        <v>916.78</v>
      </c>
      <c r="Q150" s="115">
        <f t="shared" si="10"/>
        <v>6907.66</v>
      </c>
      <c r="R150" s="108"/>
      <c r="S150" s="270"/>
      <c r="U150" s="253"/>
    </row>
    <row r="151" spans="1:21" ht="12.75">
      <c r="A151" s="116">
        <f t="shared" si="11"/>
        <v>145</v>
      </c>
      <c r="B151" s="111" t="s">
        <v>620</v>
      </c>
      <c r="C151" s="9">
        <v>21503</v>
      </c>
      <c r="D151" s="122">
        <v>15</v>
      </c>
      <c r="E151" s="114">
        <f>ROUND(0.04*521.42,0)*3.53*15</f>
        <v>1111.9499999999998</v>
      </c>
      <c r="F151" s="115">
        <v>17282.88</v>
      </c>
      <c r="G151" s="115">
        <v>1080.1799999999998</v>
      </c>
      <c r="H151" s="115">
        <v>1080.18</v>
      </c>
      <c r="I151" s="115">
        <v>1080.18</v>
      </c>
      <c r="J151" s="115">
        <v>1080.18</v>
      </c>
      <c r="K151" s="115">
        <v>1175.04</v>
      </c>
      <c r="L151" s="115">
        <v>1175.04</v>
      </c>
      <c r="M151" s="115">
        <v>446.2</v>
      </c>
      <c r="N151" s="115">
        <v>188.83</v>
      </c>
      <c r="O151" s="115">
        <v>78.66</v>
      </c>
      <c r="P151" s="115">
        <v>90.39</v>
      </c>
      <c r="Q151" s="115">
        <f t="shared" si="10"/>
        <v>25869.710000000006</v>
      </c>
      <c r="R151" s="108"/>
      <c r="S151" s="270"/>
      <c r="U151" s="253"/>
    </row>
    <row r="152" spans="1:21" ht="12.75">
      <c r="A152" s="116">
        <f t="shared" si="11"/>
        <v>146</v>
      </c>
      <c r="B152" s="111" t="s">
        <v>621</v>
      </c>
      <c r="C152" s="9">
        <v>21505</v>
      </c>
      <c r="D152" s="122">
        <v>10</v>
      </c>
      <c r="E152" s="114">
        <f>ROUND(0.04*521.42,0)*3.53*10</f>
        <v>741.3</v>
      </c>
      <c r="F152" s="115">
        <v>8189.6</v>
      </c>
      <c r="G152" s="115">
        <v>511.84999999999997</v>
      </c>
      <c r="H152" s="115">
        <v>511.85</v>
      </c>
      <c r="I152" s="115">
        <v>511.85</v>
      </c>
      <c r="J152" s="115">
        <v>511.85</v>
      </c>
      <c r="K152" s="115">
        <v>556.8</v>
      </c>
      <c r="L152" s="115">
        <v>556.8</v>
      </c>
      <c r="M152" s="115">
        <v>556.8</v>
      </c>
      <c r="N152" s="115">
        <v>556.8</v>
      </c>
      <c r="O152" s="115">
        <f>143.29+153.6</f>
        <v>296.89</v>
      </c>
      <c r="P152" s="115">
        <v>159.62</v>
      </c>
      <c r="Q152" s="115">
        <f t="shared" si="10"/>
        <v>13662.009999999998</v>
      </c>
      <c r="R152" s="108"/>
      <c r="S152" s="270"/>
      <c r="U152" s="253"/>
    </row>
    <row r="153" spans="1:21" ht="12.75">
      <c r="A153" s="116">
        <f t="shared" si="11"/>
        <v>147</v>
      </c>
      <c r="B153" s="111" t="s">
        <v>622</v>
      </c>
      <c r="C153" s="9">
        <v>21508</v>
      </c>
      <c r="D153" s="122">
        <v>15</v>
      </c>
      <c r="E153" s="114">
        <f>ROUND(0.04*521.42,0)*3.53*15</f>
        <v>1111.9499999999998</v>
      </c>
      <c r="F153" s="115">
        <v>24116.96</v>
      </c>
      <c r="G153" s="115">
        <v>1507.31</v>
      </c>
      <c r="H153" s="115">
        <v>1507.31</v>
      </c>
      <c r="I153" s="115">
        <v>1507.31</v>
      </c>
      <c r="J153" s="115">
        <v>1507.31</v>
      </c>
      <c r="K153" s="115">
        <v>1639.68</v>
      </c>
      <c r="L153" s="115">
        <v>1639.68</v>
      </c>
      <c r="M153" s="115">
        <v>1639.68</v>
      </c>
      <c r="N153" s="115">
        <v>1639.68</v>
      </c>
      <c r="O153" s="288">
        <v>553.7</v>
      </c>
      <c r="P153" s="115">
        <v>201.48</v>
      </c>
      <c r="Q153" s="115">
        <f t="shared" si="10"/>
        <v>38572.05</v>
      </c>
      <c r="R153" s="108"/>
      <c r="S153" s="270"/>
      <c r="U153" s="253"/>
    </row>
    <row r="154" spans="1:21" ht="15" customHeight="1">
      <c r="A154" s="116">
        <f t="shared" si="11"/>
        <v>148</v>
      </c>
      <c r="B154" s="111" t="s">
        <v>623</v>
      </c>
      <c r="C154" s="9">
        <v>21511</v>
      </c>
      <c r="D154" s="122">
        <v>12</v>
      </c>
      <c r="E154" s="114">
        <f>ROUND(0.04*521.42,0)*3.53*11</f>
        <v>815.43</v>
      </c>
      <c r="F154" s="115">
        <v>30103.84</v>
      </c>
      <c r="G154" s="115">
        <v>1881.49</v>
      </c>
      <c r="H154" s="115">
        <v>1881.49</v>
      </c>
      <c r="I154" s="115">
        <v>1881.49</v>
      </c>
      <c r="J154" s="115">
        <v>1881.49</v>
      </c>
      <c r="K154" s="115">
        <v>2046.72</v>
      </c>
      <c r="L154" s="115">
        <v>2046.72</v>
      </c>
      <c r="M154" s="115">
        <v>2046.72</v>
      </c>
      <c r="N154" s="115">
        <v>2046.72</v>
      </c>
      <c r="O154" s="288">
        <v>2046.72</v>
      </c>
      <c r="P154" s="302">
        <v>2046.72</v>
      </c>
      <c r="Q154" s="115">
        <f t="shared" si="10"/>
        <v>50725.55</v>
      </c>
      <c r="R154" s="108"/>
      <c r="S154" s="270"/>
      <c r="U154" s="253"/>
    </row>
    <row r="155" spans="1:21" ht="12.75">
      <c r="A155" s="116">
        <f t="shared" si="11"/>
        <v>149</v>
      </c>
      <c r="B155" s="111" t="s">
        <v>624</v>
      </c>
      <c r="C155" s="9">
        <v>21512</v>
      </c>
      <c r="D155" s="122">
        <v>12</v>
      </c>
      <c r="E155" s="114">
        <f>ROUND(0.04*521.42,0)*3.53*11</f>
        <v>815.43</v>
      </c>
      <c r="F155" s="115">
        <v>29539.04</v>
      </c>
      <c r="G155" s="115">
        <v>1846.1899999999998</v>
      </c>
      <c r="H155" s="115">
        <v>1846.19</v>
      </c>
      <c r="I155" s="115">
        <v>1846.19</v>
      </c>
      <c r="J155" s="115">
        <v>1846.19</v>
      </c>
      <c r="K155" s="115">
        <v>2008.32</v>
      </c>
      <c r="L155" s="115">
        <v>2008.32</v>
      </c>
      <c r="M155" s="115">
        <v>2008.32</v>
      </c>
      <c r="N155" s="115">
        <v>2008.32</v>
      </c>
      <c r="O155" s="288">
        <v>2008.32</v>
      </c>
      <c r="P155" s="131">
        <v>2008.32</v>
      </c>
      <c r="Q155" s="115">
        <f t="shared" si="10"/>
        <v>49789.15</v>
      </c>
      <c r="R155" s="108"/>
      <c r="S155" s="270"/>
      <c r="U155" s="253"/>
    </row>
    <row r="156" spans="1:21" ht="12.75">
      <c r="A156" s="116">
        <f t="shared" si="11"/>
        <v>150</v>
      </c>
      <c r="B156" s="111" t="s">
        <v>625</v>
      </c>
      <c r="C156" s="9">
        <v>21514</v>
      </c>
      <c r="D156" s="122">
        <v>6</v>
      </c>
      <c r="E156" s="114">
        <f>ROUND(0.04*521.42,0)*3.53*6</f>
        <v>444.78</v>
      </c>
      <c r="F156" s="115">
        <v>12764.48</v>
      </c>
      <c r="G156" s="115">
        <v>797.78</v>
      </c>
      <c r="H156" s="115">
        <v>797.78</v>
      </c>
      <c r="I156" s="115">
        <v>797.78</v>
      </c>
      <c r="J156" s="115">
        <v>797.78</v>
      </c>
      <c r="K156" s="115">
        <v>867.84</v>
      </c>
      <c r="L156" s="115">
        <v>867.84</v>
      </c>
      <c r="M156" s="115">
        <v>867.84</v>
      </c>
      <c r="N156" s="115">
        <v>867.84</v>
      </c>
      <c r="O156" s="288">
        <v>867.84</v>
      </c>
      <c r="P156" s="288">
        <v>867.84</v>
      </c>
      <c r="Q156" s="115">
        <f t="shared" si="10"/>
        <v>21607.420000000002</v>
      </c>
      <c r="R156" s="108"/>
      <c r="S156" s="270"/>
      <c r="U156" s="253"/>
    </row>
    <row r="157" spans="1:21" ht="12.75">
      <c r="A157" s="116">
        <f t="shared" si="11"/>
        <v>151</v>
      </c>
      <c r="B157" s="111" t="s">
        <v>626</v>
      </c>
      <c r="C157" s="9">
        <v>21515</v>
      </c>
      <c r="D157" s="122">
        <v>6</v>
      </c>
      <c r="E157" s="114">
        <f>ROUND(0.04*521.42,0)*3.53*6</f>
        <v>444.78</v>
      </c>
      <c r="F157" s="115">
        <v>12764.48</v>
      </c>
      <c r="G157" s="115">
        <v>797.78</v>
      </c>
      <c r="H157" s="115">
        <v>797.78</v>
      </c>
      <c r="I157" s="115">
        <v>797.78</v>
      </c>
      <c r="J157" s="115">
        <v>797.78</v>
      </c>
      <c r="K157" s="115">
        <v>867.84</v>
      </c>
      <c r="L157" s="115">
        <v>867.84</v>
      </c>
      <c r="M157" s="115">
        <v>867.84</v>
      </c>
      <c r="N157" s="115">
        <v>867.84</v>
      </c>
      <c r="O157" s="288">
        <v>867.84</v>
      </c>
      <c r="P157" s="288">
        <v>867.84</v>
      </c>
      <c r="Q157" s="115">
        <f t="shared" si="10"/>
        <v>21607.420000000002</v>
      </c>
      <c r="R157" s="108"/>
      <c r="S157" s="270"/>
      <c r="U157" s="253"/>
    </row>
    <row r="158" spans="1:21" ht="12.75">
      <c r="A158" s="116">
        <f t="shared" si="11"/>
        <v>152</v>
      </c>
      <c r="B158" s="111" t="s">
        <v>627</v>
      </c>
      <c r="C158" s="9">
        <v>21516</v>
      </c>
      <c r="D158" s="122">
        <v>15</v>
      </c>
      <c r="E158" s="114">
        <f>ROUND(0.04*521.42,0)*3.53*15</f>
        <v>1111.9499999999998</v>
      </c>
      <c r="F158" s="115">
        <v>17791.2</v>
      </c>
      <c r="G158" s="115">
        <v>1111.95</v>
      </c>
      <c r="H158" s="115">
        <v>1111.95</v>
      </c>
      <c r="I158" s="115">
        <v>1111.95</v>
      </c>
      <c r="J158" s="115">
        <v>1111.95</v>
      </c>
      <c r="K158" s="115">
        <v>1209.6</v>
      </c>
      <c r="L158" s="115">
        <v>1209.6</v>
      </c>
      <c r="M158" s="115">
        <v>1209.6</v>
      </c>
      <c r="N158" s="115">
        <v>1209.6</v>
      </c>
      <c r="O158" s="288">
        <v>1209.6</v>
      </c>
      <c r="P158" s="288">
        <v>1209.6</v>
      </c>
      <c r="Q158" s="115">
        <f t="shared" si="10"/>
        <v>30608.549999999996</v>
      </c>
      <c r="R158" s="108"/>
      <c r="S158" s="270"/>
      <c r="U158" s="253"/>
    </row>
    <row r="159" spans="1:21" ht="12.75">
      <c r="A159" s="116">
        <f t="shared" si="11"/>
        <v>153</v>
      </c>
      <c r="B159" s="111" t="s">
        <v>850</v>
      </c>
      <c r="C159" s="111">
        <v>21523</v>
      </c>
      <c r="D159" s="122" t="s">
        <v>1217</v>
      </c>
      <c r="E159" s="131">
        <f aca="true" t="shared" si="12" ref="E159:J159">33.5*2.83*3.53</f>
        <v>334.66165</v>
      </c>
      <c r="F159" s="131">
        <f t="shared" si="12"/>
        <v>334.66165</v>
      </c>
      <c r="G159" s="131">
        <f t="shared" si="12"/>
        <v>334.66165</v>
      </c>
      <c r="H159" s="131">
        <f t="shared" si="12"/>
        <v>334.66165</v>
      </c>
      <c r="I159" s="131">
        <f t="shared" si="12"/>
        <v>334.66165</v>
      </c>
      <c r="J159" s="131">
        <f t="shared" si="12"/>
        <v>334.66165</v>
      </c>
      <c r="K159" s="131">
        <f aca="true" t="shared" si="13" ref="K159:P159">33.5*2.83*3.84</f>
        <v>364.0512</v>
      </c>
      <c r="L159" s="131">
        <f t="shared" si="13"/>
        <v>364.0512</v>
      </c>
      <c r="M159" s="131">
        <f t="shared" si="13"/>
        <v>364.0512</v>
      </c>
      <c r="N159" s="131">
        <f t="shared" si="13"/>
        <v>364.0512</v>
      </c>
      <c r="O159" s="131">
        <f t="shared" si="13"/>
        <v>364.0512</v>
      </c>
      <c r="P159" s="131">
        <f t="shared" si="13"/>
        <v>364.0512</v>
      </c>
      <c r="Q159" s="115">
        <f t="shared" si="10"/>
        <v>4192.277099999999</v>
      </c>
      <c r="R159" s="108"/>
      <c r="S159" s="270"/>
      <c r="U159" s="253"/>
    </row>
    <row r="160" spans="1:21" ht="12.75">
      <c r="A160" s="116">
        <f t="shared" si="11"/>
        <v>154</v>
      </c>
      <c r="B160" s="111" t="s">
        <v>851</v>
      </c>
      <c r="C160" s="111">
        <v>21524</v>
      </c>
      <c r="D160" s="122" t="s">
        <v>1218</v>
      </c>
      <c r="E160" s="131">
        <f aca="true" t="shared" si="14" ref="E160:J160">30.6*2.83*3.53</f>
        <v>305.69094</v>
      </c>
      <c r="F160" s="131">
        <f t="shared" si="14"/>
        <v>305.69094</v>
      </c>
      <c r="G160" s="131">
        <f t="shared" si="14"/>
        <v>305.69094</v>
      </c>
      <c r="H160" s="131">
        <f t="shared" si="14"/>
        <v>305.69094</v>
      </c>
      <c r="I160" s="131">
        <f t="shared" si="14"/>
        <v>305.69094</v>
      </c>
      <c r="J160" s="131">
        <f t="shared" si="14"/>
        <v>305.69094</v>
      </c>
      <c r="K160" s="131">
        <f aca="true" t="shared" si="15" ref="K160:P160">30.6*2.83*3.84</f>
        <v>332.53632000000005</v>
      </c>
      <c r="L160" s="131">
        <f t="shared" si="15"/>
        <v>332.53632000000005</v>
      </c>
      <c r="M160" s="131">
        <f t="shared" si="15"/>
        <v>332.53632000000005</v>
      </c>
      <c r="N160" s="131">
        <f t="shared" si="15"/>
        <v>332.53632000000005</v>
      </c>
      <c r="O160" s="131">
        <f t="shared" si="15"/>
        <v>332.53632000000005</v>
      </c>
      <c r="P160" s="131">
        <f t="shared" si="15"/>
        <v>332.53632000000005</v>
      </c>
      <c r="Q160" s="115">
        <f t="shared" si="10"/>
        <v>3829.3635600000007</v>
      </c>
      <c r="R160" s="108"/>
      <c r="S160" s="270"/>
      <c r="U160" s="253"/>
    </row>
    <row r="161" spans="1:21" ht="12.75">
      <c r="A161" s="116">
        <f t="shared" si="11"/>
        <v>155</v>
      </c>
      <c r="B161" s="111" t="s">
        <v>852</v>
      </c>
      <c r="C161" s="111">
        <v>21525</v>
      </c>
      <c r="D161" s="122" t="s">
        <v>1219</v>
      </c>
      <c r="E161" s="131">
        <f aca="true" t="shared" si="16" ref="E161:J161">30.2*2.83*3.53</f>
        <v>301.69498</v>
      </c>
      <c r="F161" s="131">
        <f t="shared" si="16"/>
        <v>301.69498</v>
      </c>
      <c r="G161" s="131">
        <f t="shared" si="16"/>
        <v>301.69498</v>
      </c>
      <c r="H161" s="131">
        <f t="shared" si="16"/>
        <v>301.69498</v>
      </c>
      <c r="I161" s="131">
        <f t="shared" si="16"/>
        <v>301.69498</v>
      </c>
      <c r="J161" s="131">
        <f t="shared" si="16"/>
        <v>301.69498</v>
      </c>
      <c r="K161" s="131">
        <f aca="true" t="shared" si="17" ref="K161:P161">30.2*2.83*3.84</f>
        <v>328.18944</v>
      </c>
      <c r="L161" s="131">
        <f t="shared" si="17"/>
        <v>328.18944</v>
      </c>
      <c r="M161" s="131">
        <f t="shared" si="17"/>
        <v>328.18944</v>
      </c>
      <c r="N161" s="131">
        <f t="shared" si="17"/>
        <v>328.18944</v>
      </c>
      <c r="O161" s="131">
        <f t="shared" si="17"/>
        <v>328.18944</v>
      </c>
      <c r="P161" s="131">
        <f t="shared" si="17"/>
        <v>328.18944</v>
      </c>
      <c r="Q161" s="115">
        <f t="shared" si="10"/>
        <v>3779.3065200000005</v>
      </c>
      <c r="R161" s="108"/>
      <c r="S161" s="270"/>
      <c r="U161" s="253"/>
    </row>
    <row r="162" spans="1:21" ht="12.75">
      <c r="A162" s="116">
        <f t="shared" si="11"/>
        <v>156</v>
      </c>
      <c r="B162" s="111" t="s">
        <v>853</v>
      </c>
      <c r="C162" s="111">
        <v>21526</v>
      </c>
      <c r="D162" s="122" t="s">
        <v>1220</v>
      </c>
      <c r="E162" s="131">
        <f aca="true" t="shared" si="18" ref="E162:J162">30.1*2.83*3.53</f>
        <v>300.69599</v>
      </c>
      <c r="F162" s="131">
        <f t="shared" si="18"/>
        <v>300.69599</v>
      </c>
      <c r="G162" s="131">
        <f t="shared" si="18"/>
        <v>300.69599</v>
      </c>
      <c r="H162" s="131">
        <f t="shared" si="18"/>
        <v>300.69599</v>
      </c>
      <c r="I162" s="131">
        <f t="shared" si="18"/>
        <v>300.69599</v>
      </c>
      <c r="J162" s="131">
        <f t="shared" si="18"/>
        <v>300.69599</v>
      </c>
      <c r="K162" s="131">
        <f aca="true" t="shared" si="19" ref="K162:P162">30.1*2.83*3.84</f>
        <v>327.10272000000003</v>
      </c>
      <c r="L162" s="131">
        <f t="shared" si="19"/>
        <v>327.10272000000003</v>
      </c>
      <c r="M162" s="131">
        <f t="shared" si="19"/>
        <v>327.10272000000003</v>
      </c>
      <c r="N162" s="131">
        <f t="shared" si="19"/>
        <v>327.10272000000003</v>
      </c>
      <c r="O162" s="131">
        <f t="shared" si="19"/>
        <v>327.10272000000003</v>
      </c>
      <c r="P162" s="131">
        <f t="shared" si="19"/>
        <v>327.10272000000003</v>
      </c>
      <c r="Q162" s="115">
        <f t="shared" si="10"/>
        <v>3766.7922599999993</v>
      </c>
      <c r="R162" s="108"/>
      <c r="S162" s="270"/>
      <c r="U162" s="253"/>
    </row>
    <row r="163" spans="1:21" ht="12.75">
      <c r="A163" s="116">
        <f t="shared" si="11"/>
        <v>157</v>
      </c>
      <c r="B163" s="111" t="s">
        <v>854</v>
      </c>
      <c r="C163" s="111">
        <v>12033</v>
      </c>
      <c r="D163" s="122">
        <v>0</v>
      </c>
      <c r="E163" s="113"/>
      <c r="F163" s="115"/>
      <c r="G163" s="115"/>
      <c r="H163" s="115"/>
      <c r="I163" s="115"/>
      <c r="J163" s="115"/>
      <c r="K163" s="115"/>
      <c r="L163" s="115"/>
      <c r="M163" s="119"/>
      <c r="N163" s="119"/>
      <c r="O163" s="119"/>
      <c r="P163" s="119"/>
      <c r="Q163" s="115">
        <f t="shared" si="10"/>
        <v>0</v>
      </c>
      <c r="R163" s="99" t="s">
        <v>280</v>
      </c>
      <c r="S163" s="270"/>
      <c r="U163" s="253"/>
    </row>
    <row r="164" spans="1:21" ht="12.75">
      <c r="A164" s="116">
        <f t="shared" si="11"/>
        <v>158</v>
      </c>
      <c r="B164" s="111" t="s">
        <v>855</v>
      </c>
      <c r="C164" s="111">
        <v>12450</v>
      </c>
      <c r="D164" s="129" t="s">
        <v>588</v>
      </c>
      <c r="E164" s="115">
        <v>5804.86</v>
      </c>
      <c r="F164" s="115">
        <v>8282.15</v>
      </c>
      <c r="G164" s="115">
        <v>5438.599999999999</v>
      </c>
      <c r="H164" s="115">
        <v>5445.91</v>
      </c>
      <c r="I164" s="115">
        <v>5436.67</v>
      </c>
      <c r="J164" s="115">
        <v>5765.76</v>
      </c>
      <c r="K164" s="115">
        <v>4740.07</v>
      </c>
      <c r="L164" s="115">
        <v>6375.6</v>
      </c>
      <c r="M164" s="115">
        <v>6992.92</v>
      </c>
      <c r="N164" s="115">
        <v>7335.16</v>
      </c>
      <c r="O164" s="115">
        <v>7902.11</v>
      </c>
      <c r="P164" s="114">
        <v>8246.19</v>
      </c>
      <c r="Q164" s="115">
        <f t="shared" si="10"/>
        <v>77766</v>
      </c>
      <c r="R164" s="108"/>
      <c r="S164" s="270"/>
      <c r="U164" s="253"/>
    </row>
    <row r="165" spans="1:21" ht="12.75">
      <c r="A165" s="116">
        <f t="shared" si="11"/>
        <v>159</v>
      </c>
      <c r="B165" s="111" t="s">
        <v>856</v>
      </c>
      <c r="C165" s="111">
        <v>12608</v>
      </c>
      <c r="D165" s="129" t="s">
        <v>588</v>
      </c>
      <c r="E165" s="115">
        <v>4440.89</v>
      </c>
      <c r="F165" s="115">
        <v>5254</v>
      </c>
      <c r="G165" s="115">
        <v>3542.8999999999996</v>
      </c>
      <c r="H165" s="115">
        <v>3446.52</v>
      </c>
      <c r="I165" s="115">
        <v>2858.71</v>
      </c>
      <c r="J165" s="115">
        <v>3197.04</v>
      </c>
      <c r="K165" s="115">
        <v>2503.55</v>
      </c>
      <c r="L165" s="115">
        <v>3106.84</v>
      </c>
      <c r="M165" s="115">
        <v>3272.67</v>
      </c>
      <c r="N165" s="115">
        <v>3546.37</v>
      </c>
      <c r="O165" s="115">
        <v>4586.43</v>
      </c>
      <c r="P165" s="114">
        <v>5716.42</v>
      </c>
      <c r="Q165" s="115">
        <f t="shared" si="10"/>
        <v>45472.34</v>
      </c>
      <c r="R165" s="108"/>
      <c r="S165" s="270"/>
      <c r="U165" s="253"/>
    </row>
    <row r="166" spans="1:21" ht="12.75">
      <c r="A166" s="116">
        <f t="shared" si="11"/>
        <v>160</v>
      </c>
      <c r="B166" s="111" t="s">
        <v>857</v>
      </c>
      <c r="C166" s="111">
        <v>12609</v>
      </c>
      <c r="D166" s="129" t="s">
        <v>588</v>
      </c>
      <c r="E166" s="115">
        <v>2081.14</v>
      </c>
      <c r="F166" s="115">
        <v>2492.1</v>
      </c>
      <c r="G166" s="115">
        <v>2243.6</v>
      </c>
      <c r="H166" s="115">
        <v>2559.48</v>
      </c>
      <c r="I166" s="115">
        <v>2291.52</v>
      </c>
      <c r="J166" s="115">
        <v>2522.52</v>
      </c>
      <c r="K166" s="115">
        <v>1862.08</v>
      </c>
      <c r="L166" s="115">
        <v>2313.57</v>
      </c>
      <c r="M166" s="115">
        <v>3069.35</v>
      </c>
      <c r="N166" s="115">
        <v>2815.2</v>
      </c>
      <c r="O166" s="115">
        <v>3108.45</v>
      </c>
      <c r="P166" s="114">
        <v>3014.61</v>
      </c>
      <c r="Q166" s="115">
        <f t="shared" si="10"/>
        <v>30373.620000000003</v>
      </c>
      <c r="R166" s="108"/>
      <c r="S166" s="270"/>
      <c r="U166" s="253"/>
    </row>
    <row r="167" spans="1:21" ht="12.75">
      <c r="A167" s="116">
        <f t="shared" si="11"/>
        <v>161</v>
      </c>
      <c r="B167" s="111" t="s">
        <v>858</v>
      </c>
      <c r="C167" s="111">
        <v>12610</v>
      </c>
      <c r="D167" s="129" t="s">
        <v>588</v>
      </c>
      <c r="E167" s="115">
        <v>2836.68</v>
      </c>
      <c r="F167" s="115">
        <v>3745.25</v>
      </c>
      <c r="G167" s="115">
        <v>3038.7999999999997</v>
      </c>
      <c r="H167" s="115">
        <v>2944.01</v>
      </c>
      <c r="I167" s="115">
        <v>2960.35</v>
      </c>
      <c r="J167" s="115">
        <v>2629.85</v>
      </c>
      <c r="K167" s="115">
        <v>2108.87</v>
      </c>
      <c r="L167" s="115">
        <v>2477.1</v>
      </c>
      <c r="M167" s="115">
        <v>2657.65</v>
      </c>
      <c r="N167" s="115">
        <v>3757.51</v>
      </c>
      <c r="O167" s="115">
        <v>4093.77</v>
      </c>
      <c r="P167" s="114">
        <v>4637.26</v>
      </c>
      <c r="Q167" s="115">
        <f t="shared" si="10"/>
        <v>37887.1</v>
      </c>
      <c r="R167" s="108"/>
      <c r="S167" s="270"/>
      <c r="U167" s="253"/>
    </row>
    <row r="168" spans="1:21" ht="12.75">
      <c r="A168" s="116">
        <f t="shared" si="11"/>
        <v>162</v>
      </c>
      <c r="B168" s="111" t="s">
        <v>859</v>
      </c>
      <c r="C168" s="111">
        <v>12751</v>
      </c>
      <c r="D168" s="129" t="s">
        <v>588</v>
      </c>
      <c r="E168" s="115">
        <v>681.62</v>
      </c>
      <c r="F168" s="115">
        <v>972.7</v>
      </c>
      <c r="G168" s="115">
        <v>812.9499999999999</v>
      </c>
      <c r="H168" s="115">
        <v>757.68</v>
      </c>
      <c r="I168" s="115">
        <v>715.03</v>
      </c>
      <c r="J168" s="115">
        <v>13665.08</v>
      </c>
      <c r="K168" s="115">
        <v>2766.67</v>
      </c>
      <c r="L168" s="115">
        <v>3133.29</v>
      </c>
      <c r="M168" s="115">
        <v>3319.36</v>
      </c>
      <c r="N168" s="115">
        <v>3769.24</v>
      </c>
      <c r="O168" s="115">
        <v>3534.64</v>
      </c>
      <c r="P168" s="114">
        <v>3866.99</v>
      </c>
      <c r="Q168" s="115">
        <f t="shared" si="10"/>
        <v>37995.24999999999</v>
      </c>
      <c r="R168" s="108"/>
      <c r="S168" s="270"/>
      <c r="U168" s="253"/>
    </row>
    <row r="169" spans="1:21" ht="12.75">
      <c r="A169" s="116">
        <f t="shared" si="11"/>
        <v>163</v>
      </c>
      <c r="B169" s="111" t="s">
        <v>860</v>
      </c>
      <c r="C169" s="111">
        <v>21176</v>
      </c>
      <c r="D169" s="122">
        <v>2</v>
      </c>
      <c r="E169" s="113">
        <f>ROUND(0.04*521.42,0)*3.53*2</f>
        <v>148.26</v>
      </c>
      <c r="F169" s="114">
        <f>ROUND(0.04*409.08,0)*3.53*2</f>
        <v>112.96</v>
      </c>
      <c r="G169" s="114">
        <f>ROUND(0.04*366.33,0)*3.53*2</f>
        <v>105.89999999999999</v>
      </c>
      <c r="H169" s="114">
        <f>ROUND(0.04*254.17,0)*3.53*2</f>
        <v>70.6</v>
      </c>
      <c r="I169" s="114">
        <f>ROUND(0.04*168.83,0)*3.53*2</f>
        <v>49.419999999999995</v>
      </c>
      <c r="J169" s="114">
        <f>ROUND(0.04*102.5,0)*3.53*2</f>
        <v>28.24</v>
      </c>
      <c r="K169" s="114">
        <f>ROUND(0.04*143.25,0)*3.84*2</f>
        <v>46.08</v>
      </c>
      <c r="L169" s="114">
        <f>(0.04*235.08)*3.84*2</f>
        <v>72.216576</v>
      </c>
      <c r="M169" s="240">
        <f>(0.04*314.166)*3.84*2</f>
        <v>96.5117952</v>
      </c>
      <c r="N169" s="260">
        <f>(0.04*430.833)*3.84*2</f>
        <v>132.35189760000003</v>
      </c>
      <c r="O169" s="260"/>
      <c r="P169" s="297"/>
      <c r="Q169" s="115">
        <f t="shared" si="10"/>
        <v>862.5402687999999</v>
      </c>
      <c r="R169" s="108" t="s">
        <v>1373</v>
      </c>
      <c r="S169" s="270"/>
      <c r="U169" s="253"/>
    </row>
    <row r="170" spans="1:21" ht="12.75">
      <c r="A170" s="116">
        <f t="shared" si="11"/>
        <v>164</v>
      </c>
      <c r="B170" s="111" t="s">
        <v>658</v>
      </c>
      <c r="C170" s="121">
        <v>21179</v>
      </c>
      <c r="D170" s="230" t="s">
        <v>717</v>
      </c>
      <c r="E170" s="125"/>
      <c r="F170" s="125"/>
      <c r="G170" s="125"/>
      <c r="H170" s="151">
        <v>0</v>
      </c>
      <c r="I170" s="151">
        <v>0</v>
      </c>
      <c r="J170" s="151"/>
      <c r="K170" s="151"/>
      <c r="L170" s="151"/>
      <c r="M170" s="151"/>
      <c r="N170" s="151"/>
      <c r="O170" s="151"/>
      <c r="P170" s="296"/>
      <c r="Q170" s="115">
        <f t="shared" si="10"/>
        <v>0</v>
      </c>
      <c r="S170" s="270"/>
      <c r="U170" s="253"/>
    </row>
    <row r="171" spans="1:21" ht="12.75">
      <c r="A171" s="116">
        <f t="shared" si="11"/>
        <v>165</v>
      </c>
      <c r="B171" s="111" t="s">
        <v>861</v>
      </c>
      <c r="C171" s="111">
        <v>21184</v>
      </c>
      <c r="D171" s="122">
        <v>2</v>
      </c>
      <c r="E171" s="113">
        <f>ROUND(0.04*521.42,0)*3.53*2</f>
        <v>148.26</v>
      </c>
      <c r="F171" s="114">
        <f>ROUND(0.04*409.08,0)*3.53*2</f>
        <v>112.96</v>
      </c>
      <c r="G171" s="114">
        <f>ROUND(0.04*366.33,0)*3.53*2</f>
        <v>105.89999999999999</v>
      </c>
      <c r="H171" s="114">
        <f>ROUND(0.04*254.17,0)*3.53*2</f>
        <v>70.6</v>
      </c>
      <c r="I171" s="114">
        <f>ROUND(0.04*168.83,0)*3.53*2</f>
        <v>49.419999999999995</v>
      </c>
      <c r="J171" s="114">
        <f>ROUND(0.04*102.5,0)*3.53*2</f>
        <v>28.24</v>
      </c>
      <c r="K171" s="114">
        <f>ROUND(0.04*143.25,0)*3.84*2</f>
        <v>46.08</v>
      </c>
      <c r="L171" s="114">
        <f>(0.04*235.08)*3.84*2</f>
        <v>72.216576</v>
      </c>
      <c r="M171" s="240">
        <f>(0.04*314.166)*3.84*2</f>
        <v>96.5117952</v>
      </c>
      <c r="N171" s="260">
        <f>(0.04*430.833)*3.84*2</f>
        <v>132.35189760000003</v>
      </c>
      <c r="O171" s="260"/>
      <c r="P171" s="260"/>
      <c r="Q171" s="115">
        <f t="shared" si="10"/>
        <v>862.5402687999999</v>
      </c>
      <c r="R171" s="108" t="s">
        <v>1374</v>
      </c>
      <c r="S171" s="270"/>
      <c r="U171" s="253"/>
    </row>
    <row r="172" spans="1:21" ht="12.75">
      <c r="A172" s="116">
        <f t="shared" si="11"/>
        <v>166</v>
      </c>
      <c r="B172" s="111" t="s">
        <v>659</v>
      </c>
      <c r="C172" s="121">
        <v>21186</v>
      </c>
      <c r="D172" s="230" t="s">
        <v>717</v>
      </c>
      <c r="E172" s="125"/>
      <c r="F172" s="125"/>
      <c r="G172" s="125"/>
      <c r="H172" s="151">
        <v>0</v>
      </c>
      <c r="I172" s="151">
        <v>0</v>
      </c>
      <c r="J172" s="151"/>
      <c r="K172" s="151"/>
      <c r="L172" s="151"/>
      <c r="M172" s="151"/>
      <c r="N172" s="231"/>
      <c r="O172" s="231"/>
      <c r="P172" s="231"/>
      <c r="Q172" s="115">
        <f t="shared" si="10"/>
        <v>0</v>
      </c>
      <c r="R172" s="108" t="s">
        <v>283</v>
      </c>
      <c r="S172" s="270"/>
      <c r="U172" s="253"/>
    </row>
    <row r="173" spans="1:21" ht="12.75">
      <c r="A173" s="116">
        <f t="shared" si="11"/>
        <v>167</v>
      </c>
      <c r="B173" s="111" t="s">
        <v>873</v>
      </c>
      <c r="C173" s="117">
        <v>21188</v>
      </c>
      <c r="D173" s="128">
        <v>2</v>
      </c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5">
        <f t="shared" si="10"/>
        <v>0</v>
      </c>
      <c r="R173" s="124" t="s">
        <v>874</v>
      </c>
      <c r="S173" s="270"/>
      <c r="U173" s="253"/>
    </row>
    <row r="174" spans="1:21" ht="12.75">
      <c r="A174" s="116">
        <f t="shared" si="11"/>
        <v>168</v>
      </c>
      <c r="B174" s="111" t="s">
        <v>875</v>
      </c>
      <c r="C174" s="111">
        <v>21173</v>
      </c>
      <c r="D174" s="122">
        <v>5</v>
      </c>
      <c r="E174" s="113">
        <f>ROUND(0.04*521.42,0)*3.53*5</f>
        <v>370.65</v>
      </c>
      <c r="F174" s="114">
        <f>ROUND(0.04*409.08,0)*3.53*5</f>
        <v>282.4</v>
      </c>
      <c r="G174" s="114">
        <f>ROUND(0.04*366.33,0)*3.53*5</f>
        <v>264.75</v>
      </c>
      <c r="H174" s="114">
        <f>ROUND(0.04*254.17,0)*3.53*5</f>
        <v>176.5</v>
      </c>
      <c r="I174" s="114">
        <f>ROUND(0.04*168.83,0)*3.53*5</f>
        <v>123.54999999999998</v>
      </c>
      <c r="J174" s="114">
        <f>ROUND(0.04*102.5,0)*3.53*5</f>
        <v>70.6</v>
      </c>
      <c r="K174" s="114">
        <f>ROUND(0.04*143.25,0)*3.84*5</f>
        <v>115.19999999999999</v>
      </c>
      <c r="L174" s="114">
        <f>(0.04*235.08)*3.84*5</f>
        <v>180.54144000000002</v>
      </c>
      <c r="M174" s="131">
        <f>35.2*2.83*3.84</f>
        <v>382.52544000000006</v>
      </c>
      <c r="N174" s="131">
        <f>35.2*2.83*3.84</f>
        <v>382.52544000000006</v>
      </c>
      <c r="O174" s="131">
        <f>35.2*2.83*3.84</f>
        <v>382.52544000000006</v>
      </c>
      <c r="P174" s="131">
        <f>35.2*2.83*3.84</f>
        <v>382.52544000000006</v>
      </c>
      <c r="Q174" s="115">
        <f t="shared" si="10"/>
        <v>3114.2931999999996</v>
      </c>
      <c r="R174" s="108"/>
      <c r="S174" s="270"/>
      <c r="U174" s="253"/>
    </row>
    <row r="175" spans="1:21" ht="12.75">
      <c r="A175" s="116">
        <f t="shared" si="11"/>
        <v>169</v>
      </c>
      <c r="B175" s="111" t="s">
        <v>876</v>
      </c>
      <c r="C175" s="111">
        <v>21833</v>
      </c>
      <c r="D175" s="122" t="s">
        <v>585</v>
      </c>
      <c r="E175" s="115"/>
      <c r="F175" s="115"/>
      <c r="G175" s="115"/>
      <c r="H175" s="115">
        <v>0</v>
      </c>
      <c r="I175" s="115"/>
      <c r="J175" s="115"/>
      <c r="K175" s="115"/>
      <c r="L175" s="115"/>
      <c r="M175" s="115"/>
      <c r="N175" s="115"/>
      <c r="O175" s="115"/>
      <c r="P175" s="115"/>
      <c r="Q175" s="115">
        <f t="shared" si="10"/>
        <v>0</v>
      </c>
      <c r="R175" s="108"/>
      <c r="S175" s="270"/>
      <c r="U175" s="253"/>
    </row>
    <row r="176" spans="1:21" ht="12.75">
      <c r="A176" s="116">
        <f t="shared" si="11"/>
        <v>170</v>
      </c>
      <c r="B176" s="111" t="s">
        <v>877</v>
      </c>
      <c r="C176" s="111">
        <v>21174</v>
      </c>
      <c r="D176" s="122">
        <v>4</v>
      </c>
      <c r="E176" s="113">
        <f>ROUND(0.04*521.42,0)*3.53*4</f>
        <v>296.52</v>
      </c>
      <c r="F176" s="114">
        <f>ROUND(0.04*409.08,0)*3.53*4</f>
        <v>225.92</v>
      </c>
      <c r="G176" s="114">
        <f>ROUND(0.04*366.33,0)*3.53*4</f>
        <v>211.79999999999998</v>
      </c>
      <c r="H176" s="114">
        <f>ROUND(0.04*254.17,0)*3.53*4</f>
        <v>141.2</v>
      </c>
      <c r="I176" s="114">
        <f>ROUND(0.04*168.83,0)*3.53*4</f>
        <v>98.83999999999999</v>
      </c>
      <c r="J176" s="114">
        <f>ROUND(0.04*102.5,0)*3.53*4</f>
        <v>56.48</v>
      </c>
      <c r="K176" s="114">
        <f>ROUND(0.04*143.25,0)*3.84*4</f>
        <v>92.16</v>
      </c>
      <c r="L176" s="114">
        <f>(0.04*235.08)*3.84*4</f>
        <v>144.433152</v>
      </c>
      <c r="M176" s="131">
        <f>39.1*2.83*3.84</f>
        <v>424.90752000000003</v>
      </c>
      <c r="N176" s="131">
        <f>39.1*2.83*3.84</f>
        <v>424.90752000000003</v>
      </c>
      <c r="O176" s="131">
        <f>39.1*2.83*3.84</f>
        <v>424.90752000000003</v>
      </c>
      <c r="P176" s="131">
        <f>39.1*2.83*3.84</f>
        <v>424.90752000000003</v>
      </c>
      <c r="Q176" s="115">
        <f t="shared" si="10"/>
        <v>2966.9832320000005</v>
      </c>
      <c r="R176" s="108"/>
      <c r="S176" s="270"/>
      <c r="U176" s="253"/>
    </row>
    <row r="177" spans="1:21" ht="12.75">
      <c r="A177" s="116">
        <f t="shared" si="11"/>
        <v>171</v>
      </c>
      <c r="B177" s="111" t="s">
        <v>204</v>
      </c>
      <c r="C177" s="117">
        <v>11712</v>
      </c>
      <c r="D177" s="128" t="s">
        <v>584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15">
        <f t="shared" si="10"/>
        <v>0</v>
      </c>
      <c r="R177" s="108" t="s">
        <v>878</v>
      </c>
      <c r="S177" s="273"/>
      <c r="U177" s="253"/>
    </row>
    <row r="178" spans="1:21" ht="12.75">
      <c r="A178" s="116">
        <f t="shared" si="11"/>
        <v>172</v>
      </c>
      <c r="B178" s="111" t="s">
        <v>879</v>
      </c>
      <c r="C178" s="111">
        <v>11706</v>
      </c>
      <c r="D178" s="122">
        <v>3</v>
      </c>
      <c r="E178" s="113">
        <f>ROUND(0.04*521.42,0)*3.53*3</f>
        <v>222.39</v>
      </c>
      <c r="F178" s="114">
        <f>ROUND(0.04*409.08,0)*3.53*3</f>
        <v>169.44</v>
      </c>
      <c r="G178" s="114">
        <f>ROUND(0.04*366.33,0)*3.53*3</f>
        <v>158.85</v>
      </c>
      <c r="H178" s="114">
        <f>ROUND(0.04*254.17,0)*3.53*3</f>
        <v>105.89999999999999</v>
      </c>
      <c r="I178" s="114">
        <f>ROUND(0.04*168.83,0)*3.53*3</f>
        <v>74.13</v>
      </c>
      <c r="J178" s="114">
        <f>ROUND(0.04*102.5,0)*3.53*3</f>
        <v>42.36</v>
      </c>
      <c r="K178" s="114">
        <f>ROUND(0.04*143.25,0)*3.84*3</f>
        <v>69.12</v>
      </c>
      <c r="L178" s="114">
        <f>(0.04*235.08)*3.84*3</f>
        <v>108.324864</v>
      </c>
      <c r="M178" s="131">
        <f>71.3*2.83*3.84</f>
        <v>774.8313599999999</v>
      </c>
      <c r="N178" s="131">
        <f>71.3*2.83*3.84</f>
        <v>774.8313599999999</v>
      </c>
      <c r="O178" s="131">
        <f>71.3*2.83*3.84</f>
        <v>774.8313599999999</v>
      </c>
      <c r="P178" s="131">
        <f>71.3*2.83*3.84</f>
        <v>774.8313599999999</v>
      </c>
      <c r="Q178" s="115">
        <f t="shared" si="10"/>
        <v>4049.8403040000003</v>
      </c>
      <c r="R178" s="108"/>
      <c r="S178" s="271"/>
      <c r="U178" s="253"/>
    </row>
    <row r="179" spans="1:21" ht="12.75">
      <c r="A179" s="116">
        <f t="shared" si="11"/>
        <v>173</v>
      </c>
      <c r="B179" s="111" t="s">
        <v>880</v>
      </c>
      <c r="C179" s="111">
        <v>21196</v>
      </c>
      <c r="D179" s="122" t="s">
        <v>585</v>
      </c>
      <c r="E179" s="115">
        <v>155.67</v>
      </c>
      <c r="F179" s="115">
        <v>170.6</v>
      </c>
      <c r="G179" s="115">
        <v>172.74</v>
      </c>
      <c r="H179" s="115">
        <v>142.88</v>
      </c>
      <c r="I179" s="115">
        <v>177.02</v>
      </c>
      <c r="J179" s="115">
        <v>137.92</v>
      </c>
      <c r="K179" s="115">
        <v>185.84</v>
      </c>
      <c r="L179" s="115">
        <v>204.47</v>
      </c>
      <c r="M179" s="115">
        <v>198.95</v>
      </c>
      <c r="N179" s="115">
        <v>294.63</v>
      </c>
      <c r="O179" s="115">
        <v>480.93</v>
      </c>
      <c r="P179" s="115">
        <v>375.82</v>
      </c>
      <c r="Q179" s="115">
        <f t="shared" si="10"/>
        <v>2697.47</v>
      </c>
      <c r="R179" s="108"/>
      <c r="S179" s="270"/>
      <c r="U179" s="253"/>
    </row>
    <row r="180" spans="1:21" ht="12.75">
      <c r="A180" s="116">
        <f t="shared" si="11"/>
        <v>174</v>
      </c>
      <c r="B180" s="111" t="s">
        <v>881</v>
      </c>
      <c r="C180" s="121">
        <v>21197</v>
      </c>
      <c r="D180" s="123">
        <v>3</v>
      </c>
      <c r="E180" s="114">
        <f>ROUND(0.04*521.42,0)*3.53*3</f>
        <v>222.39</v>
      </c>
      <c r="F180" s="114">
        <f>ROUND(0.04*409.08,0)*3.53*3</f>
        <v>169.44</v>
      </c>
      <c r="G180" s="114">
        <f>ROUND(0.04*366.33,0)*3.53*3</f>
        <v>158.85</v>
      </c>
      <c r="H180" s="114">
        <f>ROUND(0.04*254.17,0)*3.53*3</f>
        <v>105.89999999999999</v>
      </c>
      <c r="I180" s="114">
        <f>ROUND(0.04*168.83,0)*3.53*3</f>
        <v>74.13</v>
      </c>
      <c r="J180" s="232">
        <f>13.1*2.83*3.53</f>
        <v>130.86768999999998</v>
      </c>
      <c r="K180" s="232">
        <f aca="true" t="shared" si="20" ref="K180:P180">13.1*2.83*3.84</f>
        <v>142.36032</v>
      </c>
      <c r="L180" s="232">
        <f t="shared" si="20"/>
        <v>142.36032</v>
      </c>
      <c r="M180" s="131">
        <f t="shared" si="20"/>
        <v>142.36032</v>
      </c>
      <c r="N180" s="131">
        <f t="shared" si="20"/>
        <v>142.36032</v>
      </c>
      <c r="O180" s="131">
        <f t="shared" si="20"/>
        <v>142.36032</v>
      </c>
      <c r="P180" s="131">
        <f t="shared" si="20"/>
        <v>142.36032</v>
      </c>
      <c r="Q180" s="115">
        <f t="shared" si="10"/>
        <v>1715.7396099999999</v>
      </c>
      <c r="R180" s="108"/>
      <c r="S180" s="270"/>
      <c r="U180" s="253"/>
    </row>
    <row r="181" spans="1:21" ht="12.75">
      <c r="A181" s="116">
        <f t="shared" si="11"/>
        <v>175</v>
      </c>
      <c r="B181" s="111" t="s">
        <v>882</v>
      </c>
      <c r="C181" s="9">
        <v>21198</v>
      </c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301"/>
      <c r="P181" s="301"/>
      <c r="Q181" s="115">
        <f t="shared" si="10"/>
        <v>0</v>
      </c>
      <c r="R181" s="99" t="s">
        <v>1367</v>
      </c>
      <c r="S181" s="270"/>
      <c r="U181" s="253"/>
    </row>
    <row r="182" spans="1:21" ht="12.75">
      <c r="A182" s="116">
        <f t="shared" si="11"/>
        <v>176</v>
      </c>
      <c r="B182" s="111" t="s">
        <v>883</v>
      </c>
      <c r="C182" s="111">
        <v>12041</v>
      </c>
      <c r="D182" s="122">
        <v>3</v>
      </c>
      <c r="E182" s="113">
        <f>ROUND(0.04*521.42,0)*3.53*3</f>
        <v>222.39</v>
      </c>
      <c r="F182" s="114">
        <f>ROUND(0.04*409.08,0)*3.53*3</f>
        <v>169.44</v>
      </c>
      <c r="G182" s="114">
        <f>ROUND(0.04*366.33,0)*3.53*3</f>
        <v>158.85</v>
      </c>
      <c r="H182" s="114">
        <f>ROUND(0.04*254.17,0)*3.53*3</f>
        <v>105.89999999999999</v>
      </c>
      <c r="I182" s="114">
        <f>ROUND(0.04*168.83,0)*3.53*3</f>
        <v>74.13</v>
      </c>
      <c r="J182" s="114">
        <f>ROUND(0.04*102.5,0)*3.53*3</f>
        <v>42.36</v>
      </c>
      <c r="K182" s="114">
        <f>ROUND(0.04*143.25,0)*3.84*3</f>
        <v>69.12</v>
      </c>
      <c r="L182" s="114">
        <f>(0.04*235.08)*3.84*3</f>
        <v>108.324864</v>
      </c>
      <c r="M182" s="119"/>
      <c r="N182" s="119"/>
      <c r="O182" s="119"/>
      <c r="P182" s="119"/>
      <c r="Q182" s="115">
        <f t="shared" si="10"/>
        <v>950.514864</v>
      </c>
      <c r="R182" s="108" t="s">
        <v>277</v>
      </c>
      <c r="S182" s="270"/>
      <c r="U182" s="253"/>
    </row>
    <row r="183" spans="1:21" ht="12.75">
      <c r="A183" s="116">
        <f t="shared" si="11"/>
        <v>177</v>
      </c>
      <c r="B183" s="111" t="s">
        <v>884</v>
      </c>
      <c r="C183" s="111">
        <v>12042</v>
      </c>
      <c r="D183" s="122">
        <v>14</v>
      </c>
      <c r="E183" s="113">
        <f>ROUND(0.04*521.42,0)*3.53*14</f>
        <v>1037.82</v>
      </c>
      <c r="F183" s="114">
        <f>ROUND(0.04*409.08,0)*3.53*14</f>
        <v>790.7199999999999</v>
      </c>
      <c r="G183" s="114">
        <f>ROUND(0.04*366.33,0)*3.53*14</f>
        <v>741.3</v>
      </c>
      <c r="H183" s="114">
        <f>ROUND(0.04*254.17,0)*3.53*14</f>
        <v>494.19999999999993</v>
      </c>
      <c r="I183" s="114">
        <f>ROUND(0.04*168.83,0)*3.53*14</f>
        <v>345.93999999999994</v>
      </c>
      <c r="J183" s="114">
        <f>ROUND(0.04*102.5,0)*3.53*14</f>
        <v>197.67999999999998</v>
      </c>
      <c r="K183" s="114">
        <f>ROUND(0.04*143.25,0)*3.84*14</f>
        <v>322.56</v>
      </c>
      <c r="L183" s="114">
        <f>(0.04*235.08)*3.84*14</f>
        <v>505.516032</v>
      </c>
      <c r="M183" s="114">
        <f>(0.04*314.166)*3.84*14</f>
        <v>675.5825663999999</v>
      </c>
      <c r="N183" s="261">
        <f>(0.04*430.833)*3.84*14</f>
        <v>926.4632832000002</v>
      </c>
      <c r="O183" s="261"/>
      <c r="P183" s="261"/>
      <c r="Q183" s="115">
        <f t="shared" si="10"/>
        <v>6037.7818816</v>
      </c>
      <c r="R183" s="108" t="s">
        <v>872</v>
      </c>
      <c r="S183" s="270"/>
      <c r="U183" s="253"/>
    </row>
    <row r="184" spans="1:21" ht="12.75">
      <c r="A184" s="116">
        <f t="shared" si="11"/>
        <v>178</v>
      </c>
      <c r="B184" s="111" t="s">
        <v>885</v>
      </c>
      <c r="C184" s="111">
        <v>12050</v>
      </c>
      <c r="D184" s="122">
        <v>10</v>
      </c>
      <c r="E184" s="113">
        <f>ROUND(0.04*521.42,0)*3.53*10</f>
        <v>741.3</v>
      </c>
      <c r="F184" s="114">
        <f>ROUND(0.04*409.08,0)*3.53*10</f>
        <v>564.8</v>
      </c>
      <c r="G184" s="114">
        <f>ROUND(0.04*366.33,0)*3.53*10</f>
        <v>529.5</v>
      </c>
      <c r="H184" s="114">
        <f>ROUND(0.04*254.17,0)*3.53*10</f>
        <v>353</v>
      </c>
      <c r="I184" s="114">
        <f>ROUND(0.04*168.83,0)*3.53*10</f>
        <v>247.09999999999997</v>
      </c>
      <c r="J184" s="114">
        <f>ROUND(0.04*102.5,0)*3.53*10</f>
        <v>141.2</v>
      </c>
      <c r="K184" s="114">
        <f>ROUND(0.04*143.25,0)*3.84*10</f>
        <v>230.39999999999998</v>
      </c>
      <c r="L184" s="114">
        <f>ROUND(0.04*235.08,0)*3.84*10</f>
        <v>345.6</v>
      </c>
      <c r="M184" s="131">
        <f>24*2.83*3.84</f>
        <v>260.8128</v>
      </c>
      <c r="N184" s="131">
        <f>24*2.83*3.84</f>
        <v>260.8128</v>
      </c>
      <c r="O184" s="131">
        <f>24*2.83*3.84</f>
        <v>260.8128</v>
      </c>
      <c r="P184" s="131">
        <f>24*2.83*3.84</f>
        <v>260.8128</v>
      </c>
      <c r="Q184" s="115">
        <f t="shared" si="10"/>
        <v>4196.1512</v>
      </c>
      <c r="R184" s="108"/>
      <c r="S184" s="271"/>
      <c r="U184" s="253"/>
    </row>
    <row r="185" spans="1:21" ht="12.75">
      <c r="A185" s="116">
        <f t="shared" si="11"/>
        <v>179</v>
      </c>
      <c r="B185" s="111" t="s">
        <v>886</v>
      </c>
      <c r="C185" s="111">
        <v>12038</v>
      </c>
      <c r="D185" s="122">
        <v>4</v>
      </c>
      <c r="E185" s="113">
        <f>ROUND(0.04*521.42,0)*3.53*4</f>
        <v>296.52</v>
      </c>
      <c r="F185" s="114">
        <f>ROUND(0.04*409.08,0)*3.53*4</f>
        <v>225.92</v>
      </c>
      <c r="G185" s="114">
        <f>ROUND(0.04*366.33,0)*3.53*4</f>
        <v>211.79999999999998</v>
      </c>
      <c r="H185" s="114">
        <f>ROUND(0.04*254.17,0)*3.53*4</f>
        <v>141.2</v>
      </c>
      <c r="I185" s="114">
        <f>ROUND(0.04*168.83,0)*3.53*4</f>
        <v>98.83999999999999</v>
      </c>
      <c r="J185" s="114">
        <f>ROUND(0.04*102.5,0)*3.53*4</f>
        <v>56.48</v>
      </c>
      <c r="K185" s="114">
        <f>ROUND(0.04*143.25,0)*3.84*4</f>
        <v>92.16</v>
      </c>
      <c r="L185" s="114">
        <f>(0.04*235.08)*3.84*4</f>
        <v>144.433152</v>
      </c>
      <c r="M185" s="131">
        <f>20.8*2.83*3.84</f>
        <v>226.03776000000002</v>
      </c>
      <c r="N185" s="131">
        <f>20.8*2.83*3.84</f>
        <v>226.03776000000002</v>
      </c>
      <c r="O185" s="131">
        <f>20.8*2.83*3.84</f>
        <v>226.03776000000002</v>
      </c>
      <c r="P185" s="131">
        <f>20.8*2.83*3.84</f>
        <v>226.03776000000002</v>
      </c>
      <c r="Q185" s="115">
        <f t="shared" si="10"/>
        <v>2171.504192</v>
      </c>
      <c r="R185" s="108"/>
      <c r="S185" s="271"/>
      <c r="U185" s="253"/>
    </row>
    <row r="186" spans="1:21" ht="12.75">
      <c r="A186" s="116">
        <f t="shared" si="11"/>
        <v>180</v>
      </c>
      <c r="B186" s="111" t="s">
        <v>887</v>
      </c>
      <c r="C186" s="111">
        <v>12052</v>
      </c>
      <c r="D186" s="122">
        <v>15</v>
      </c>
      <c r="E186" s="113">
        <f>ROUND(0.04*521.42,0)*3.53*15</f>
        <v>1111.9499999999998</v>
      </c>
      <c r="F186" s="114">
        <f>ROUND(0.04*409.08,0)*3.53*15</f>
        <v>847.1999999999999</v>
      </c>
      <c r="G186" s="114">
        <f>ROUND(0.04*366.33,0)*3.53*15</f>
        <v>794.2499999999999</v>
      </c>
      <c r="H186" s="114">
        <f>ROUND(0.04*254.17,0)*3.53*15</f>
        <v>529.5</v>
      </c>
      <c r="I186" s="114">
        <f>ROUND(0.04*168.83,0)*3.53*15</f>
        <v>370.65</v>
      </c>
      <c r="J186" s="114">
        <f>ROUND(0.04*102.5,0)*3.53*15</f>
        <v>211.79999999999998</v>
      </c>
      <c r="K186" s="114">
        <f>ROUND(0.04*143.25,0)*3.84*15</f>
        <v>345.59999999999997</v>
      </c>
      <c r="L186" s="114">
        <f>ROUND(0.04*235.08,0)*3.84*15</f>
        <v>518.4000000000001</v>
      </c>
      <c r="M186" s="131">
        <f>10.6*2.83*3.84</f>
        <v>115.19232</v>
      </c>
      <c r="N186" s="131">
        <f>10.6*2.83*3.84</f>
        <v>115.19232</v>
      </c>
      <c r="O186" s="131">
        <f>10.6*2.83*3.84</f>
        <v>115.19232</v>
      </c>
      <c r="P186" s="131">
        <f>10.6*2.83*3.84</f>
        <v>115.19232</v>
      </c>
      <c r="Q186" s="115">
        <f t="shared" si="10"/>
        <v>5190.119280000001</v>
      </c>
      <c r="R186" s="108"/>
      <c r="S186" s="271"/>
      <c r="U186" s="253"/>
    </row>
    <row r="187" spans="1:21" ht="12.75">
      <c r="A187" s="116">
        <f t="shared" si="11"/>
        <v>181</v>
      </c>
      <c r="B187" s="111" t="s">
        <v>888</v>
      </c>
      <c r="C187" s="111">
        <v>21352</v>
      </c>
      <c r="D187" s="122" t="s">
        <v>585</v>
      </c>
      <c r="E187" s="115">
        <v>8346.36</v>
      </c>
      <c r="F187" s="115">
        <v>9315.98</v>
      </c>
      <c r="G187" s="115">
        <v>10754.27</v>
      </c>
      <c r="H187" s="115">
        <v>2356.55</v>
      </c>
      <c r="I187" s="115">
        <v>3132.13</v>
      </c>
      <c r="J187" s="115">
        <v>4560.88</v>
      </c>
      <c r="K187" s="115">
        <v>7257.19</v>
      </c>
      <c r="L187" s="115">
        <v>7201.76</v>
      </c>
      <c r="M187" s="115">
        <v>7273.29</v>
      </c>
      <c r="N187" s="115">
        <v>12146.3</v>
      </c>
      <c r="O187" s="115">
        <v>10577.93</v>
      </c>
      <c r="P187" s="115">
        <v>12432.88</v>
      </c>
      <c r="Q187" s="115">
        <f t="shared" si="10"/>
        <v>95355.52000000002</v>
      </c>
      <c r="R187" s="108"/>
      <c r="S187" s="270"/>
      <c r="U187" s="253"/>
    </row>
    <row r="188" spans="1:21" ht="12.75">
      <c r="A188" s="116">
        <f t="shared" si="11"/>
        <v>182</v>
      </c>
      <c r="B188" s="111" t="s">
        <v>889</v>
      </c>
      <c r="C188" s="111">
        <v>21103</v>
      </c>
      <c r="D188" s="129" t="s">
        <v>588</v>
      </c>
      <c r="E188" s="115">
        <v>2710.77</v>
      </c>
      <c r="F188" s="115">
        <v>2857.98</v>
      </c>
      <c r="G188" s="115">
        <v>3012.82</v>
      </c>
      <c r="H188" s="115">
        <v>2095.39</v>
      </c>
      <c r="I188" s="115">
        <v>2711.63</v>
      </c>
      <c r="J188" s="115">
        <v>2551</v>
      </c>
      <c r="K188" s="115">
        <v>2482.39</v>
      </c>
      <c r="L188" s="115">
        <v>2560.82</v>
      </c>
      <c r="M188" s="115">
        <v>2598.08</v>
      </c>
      <c r="N188" s="115">
        <v>3906.55</v>
      </c>
      <c r="O188" s="115">
        <v>2251.47</v>
      </c>
      <c r="P188" s="115">
        <v>3294.75</v>
      </c>
      <c r="Q188" s="115">
        <f t="shared" si="10"/>
        <v>33033.649999999994</v>
      </c>
      <c r="R188" s="108"/>
      <c r="S188" s="270"/>
      <c r="U188" s="253"/>
    </row>
    <row r="189" spans="1:21" ht="12.75">
      <c r="A189" s="116">
        <f t="shared" si="11"/>
        <v>183</v>
      </c>
      <c r="B189" s="111" t="s">
        <v>890</v>
      </c>
      <c r="C189" s="111">
        <v>21104</v>
      </c>
      <c r="D189" s="122" t="s">
        <v>585</v>
      </c>
      <c r="E189" s="115">
        <v>428.74</v>
      </c>
      <c r="F189" s="115">
        <v>420.91</v>
      </c>
      <c r="G189" s="115">
        <v>313.83000000000004</v>
      </c>
      <c r="H189" s="115">
        <v>328.76</v>
      </c>
      <c r="I189" s="115">
        <v>219.87</v>
      </c>
      <c r="J189" s="115">
        <v>174.4</v>
      </c>
      <c r="K189" s="115">
        <v>175.03</v>
      </c>
      <c r="L189" s="115">
        <v>181.24</v>
      </c>
      <c r="M189" s="115">
        <v>196.65</v>
      </c>
      <c r="N189" s="115">
        <v>546.71</v>
      </c>
      <c r="O189" s="115">
        <v>497.49</v>
      </c>
      <c r="P189" s="115">
        <v>726.57</v>
      </c>
      <c r="Q189" s="115">
        <f t="shared" si="10"/>
        <v>4210.200000000001</v>
      </c>
      <c r="R189" s="108"/>
      <c r="S189" s="270"/>
      <c r="U189" s="253"/>
    </row>
    <row r="190" spans="1:21" ht="12.75">
      <c r="A190" s="116">
        <f t="shared" si="11"/>
        <v>184</v>
      </c>
      <c r="B190" s="111" t="s">
        <v>891</v>
      </c>
      <c r="C190" s="111">
        <v>21105</v>
      </c>
      <c r="D190" s="122" t="s">
        <v>585</v>
      </c>
      <c r="E190" s="115">
        <v>257.31</v>
      </c>
      <c r="F190" s="115">
        <v>212.52</v>
      </c>
      <c r="G190" s="115">
        <v>296.40999999999997</v>
      </c>
      <c r="H190" s="115">
        <v>236.69</v>
      </c>
      <c r="I190" s="115">
        <v>205.47</v>
      </c>
      <c r="J190" s="115">
        <v>182.71</v>
      </c>
      <c r="K190" s="115">
        <v>211.37</v>
      </c>
      <c r="L190" s="115">
        <v>198.26</v>
      </c>
      <c r="M190" s="115">
        <v>206.77</v>
      </c>
      <c r="N190" s="115">
        <v>378.81</v>
      </c>
      <c r="O190" s="115">
        <v>249.78</v>
      </c>
      <c r="P190" s="115">
        <v>301.99</v>
      </c>
      <c r="Q190" s="115">
        <f t="shared" si="10"/>
        <v>2938.09</v>
      </c>
      <c r="R190" s="108"/>
      <c r="S190" s="270"/>
      <c r="U190" s="253"/>
    </row>
    <row r="191" spans="1:21" ht="12.75">
      <c r="A191" s="116">
        <f t="shared" si="11"/>
        <v>185</v>
      </c>
      <c r="B191" s="111" t="s">
        <v>892</v>
      </c>
      <c r="C191" s="111">
        <v>21106</v>
      </c>
      <c r="D191" s="122" t="s">
        <v>585</v>
      </c>
      <c r="E191" s="115">
        <v>431.51</v>
      </c>
      <c r="F191" s="115">
        <v>415.17</v>
      </c>
      <c r="G191" s="115">
        <v>376.22</v>
      </c>
      <c r="H191" s="115">
        <v>297.24</v>
      </c>
      <c r="I191" s="115">
        <v>221.13</v>
      </c>
      <c r="J191" s="115">
        <v>211.89</v>
      </c>
      <c r="K191" s="115">
        <v>215.51</v>
      </c>
      <c r="L191" s="115">
        <v>189.06</v>
      </c>
      <c r="M191" s="115">
        <v>213.9</v>
      </c>
      <c r="N191" s="115">
        <v>549.01</v>
      </c>
      <c r="O191" s="115">
        <v>301.76</v>
      </c>
      <c r="P191" s="115">
        <v>476.79</v>
      </c>
      <c r="Q191" s="115">
        <f t="shared" si="10"/>
        <v>3899.1900000000005</v>
      </c>
      <c r="R191" s="108"/>
      <c r="S191" s="270"/>
      <c r="U191" s="253"/>
    </row>
    <row r="192" spans="1:21" ht="14.25" customHeight="1">
      <c r="A192" s="116">
        <f t="shared" si="11"/>
        <v>186</v>
      </c>
      <c r="B192" s="111" t="s">
        <v>893</v>
      </c>
      <c r="C192" s="111">
        <v>21107</v>
      </c>
      <c r="D192" s="122" t="s">
        <v>585</v>
      </c>
      <c r="E192" s="115">
        <v>673.16</v>
      </c>
      <c r="F192" s="115">
        <v>641.89</v>
      </c>
      <c r="G192" s="115">
        <v>1019.27</v>
      </c>
      <c r="H192" s="115">
        <v>465.32</v>
      </c>
      <c r="I192" s="115">
        <v>515.6</v>
      </c>
      <c r="J192" s="115">
        <v>395.43</v>
      </c>
      <c r="K192" s="115">
        <v>537.51</v>
      </c>
      <c r="L192" s="115">
        <v>484.84</v>
      </c>
      <c r="M192" s="115">
        <v>494.96</v>
      </c>
      <c r="N192" s="115">
        <v>1455.9</v>
      </c>
      <c r="O192" s="115">
        <v>822.25</v>
      </c>
      <c r="P192" s="115">
        <v>1127.46</v>
      </c>
      <c r="Q192" s="115">
        <f t="shared" si="10"/>
        <v>8633.59</v>
      </c>
      <c r="R192" s="108"/>
      <c r="S192" s="270"/>
      <c r="U192" s="253"/>
    </row>
    <row r="193" spans="1:21" ht="12.75">
      <c r="A193" s="116">
        <f t="shared" si="11"/>
        <v>187</v>
      </c>
      <c r="B193" s="111" t="s">
        <v>894</v>
      </c>
      <c r="C193" s="117">
        <v>31021</v>
      </c>
      <c r="D193" s="128" t="s">
        <v>591</v>
      </c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>
        <f t="shared" si="10"/>
        <v>0</v>
      </c>
      <c r="R193" s="108"/>
      <c r="S193" s="270"/>
      <c r="U193" s="253"/>
    </row>
    <row r="194" spans="1:21" ht="13.5" customHeight="1">
      <c r="A194" s="116">
        <f t="shared" si="11"/>
        <v>188</v>
      </c>
      <c r="B194" s="111" t="s">
        <v>895</v>
      </c>
      <c r="C194" s="111">
        <v>21108</v>
      </c>
      <c r="D194" s="129" t="s">
        <v>588</v>
      </c>
      <c r="E194" s="114">
        <v>1994.18</v>
      </c>
      <c r="F194" s="115">
        <v>1978.52</v>
      </c>
      <c r="G194" s="115">
        <v>1719.75</v>
      </c>
      <c r="H194" s="115">
        <v>1894.63</v>
      </c>
      <c r="I194" s="115">
        <v>1827.08</v>
      </c>
      <c r="J194" s="115">
        <v>1711.87</v>
      </c>
      <c r="K194" s="115">
        <v>1855.18</v>
      </c>
      <c r="L194" s="115">
        <v>1631.85</v>
      </c>
      <c r="M194" s="115">
        <v>1649.1</v>
      </c>
      <c r="N194" s="115">
        <v>2772.42</v>
      </c>
      <c r="O194" s="115">
        <v>1716.03</v>
      </c>
      <c r="P194" s="115">
        <v>2216.97</v>
      </c>
      <c r="Q194" s="115">
        <f t="shared" si="10"/>
        <v>22967.58</v>
      </c>
      <c r="R194" s="108"/>
      <c r="S194" s="270"/>
      <c r="U194" s="253"/>
    </row>
    <row r="195" spans="1:21" ht="12.75">
      <c r="A195" s="116">
        <f t="shared" si="11"/>
        <v>189</v>
      </c>
      <c r="B195" s="111" t="s">
        <v>896</v>
      </c>
      <c r="C195" s="111">
        <v>21109</v>
      </c>
      <c r="D195" s="129" t="s">
        <v>588</v>
      </c>
      <c r="E195" s="115">
        <v>1824.01</v>
      </c>
      <c r="F195" s="115">
        <v>1796.29</v>
      </c>
      <c r="G195" s="115">
        <v>2264.41</v>
      </c>
      <c r="H195" s="115">
        <v>2730.79</v>
      </c>
      <c r="I195" s="115">
        <v>2730.11</v>
      </c>
      <c r="J195" s="115">
        <v>2039.2</v>
      </c>
      <c r="K195" s="115">
        <v>2031.36</v>
      </c>
      <c r="L195" s="115">
        <v>1936.83</v>
      </c>
      <c r="M195" s="115">
        <v>1969.49</v>
      </c>
      <c r="N195" s="115">
        <v>2903.06</v>
      </c>
      <c r="O195" s="115">
        <v>1962.82</v>
      </c>
      <c r="P195" s="115">
        <v>2327.83</v>
      </c>
      <c r="Q195" s="115">
        <f t="shared" si="10"/>
        <v>26516.200000000004</v>
      </c>
      <c r="R195" s="108"/>
      <c r="S195" s="270"/>
      <c r="U195" s="253"/>
    </row>
    <row r="196" spans="1:21" ht="12.75">
      <c r="A196" s="116">
        <f t="shared" si="11"/>
        <v>190</v>
      </c>
      <c r="B196" s="111" t="s">
        <v>897</v>
      </c>
      <c r="C196" s="111">
        <v>21110</v>
      </c>
      <c r="D196" s="129" t="s">
        <v>588</v>
      </c>
      <c r="E196" s="115">
        <v>2057.2</v>
      </c>
      <c r="F196" s="115">
        <v>2017.37</v>
      </c>
      <c r="G196" s="115">
        <v>2237.0899999999997</v>
      </c>
      <c r="H196" s="115">
        <v>2252.6</v>
      </c>
      <c r="I196" s="115">
        <v>2357.06</v>
      </c>
      <c r="J196" s="115">
        <v>2250.46</v>
      </c>
      <c r="K196" s="115">
        <v>2254.46</v>
      </c>
      <c r="L196" s="115">
        <v>2066.09</v>
      </c>
      <c r="M196" s="115">
        <v>2095.53</v>
      </c>
      <c r="N196" s="115">
        <v>3319.13</v>
      </c>
      <c r="O196" s="115">
        <v>2279.99</v>
      </c>
      <c r="P196" s="115">
        <v>3036</v>
      </c>
      <c r="Q196" s="115">
        <f t="shared" si="10"/>
        <v>28222.979999999996</v>
      </c>
      <c r="R196" s="108"/>
      <c r="S196" s="270"/>
      <c r="U196" s="253"/>
    </row>
    <row r="197" spans="1:21" ht="12.75">
      <c r="A197" s="116">
        <f t="shared" si="11"/>
        <v>191</v>
      </c>
      <c r="B197" s="111" t="s">
        <v>898</v>
      </c>
      <c r="C197" s="111">
        <v>21100</v>
      </c>
      <c r="D197" s="129" t="s">
        <v>588</v>
      </c>
      <c r="E197" s="115">
        <v>2249.05</v>
      </c>
      <c r="F197" s="115">
        <v>2231.25</v>
      </c>
      <c r="G197" s="115">
        <v>3109.53</v>
      </c>
      <c r="H197" s="115">
        <v>2850.28</v>
      </c>
      <c r="I197" s="115">
        <v>2860.1</v>
      </c>
      <c r="J197" s="115">
        <v>2711.58</v>
      </c>
      <c r="K197" s="115">
        <v>2680.19</v>
      </c>
      <c r="L197" s="115">
        <v>2485.38</v>
      </c>
      <c r="M197" s="115">
        <v>2534.37</v>
      </c>
      <c r="N197" s="115">
        <v>3605.48</v>
      </c>
      <c r="O197" s="115">
        <v>2305.98</v>
      </c>
      <c r="P197" s="115">
        <v>2700.66</v>
      </c>
      <c r="Q197" s="115">
        <f t="shared" si="10"/>
        <v>32323.85</v>
      </c>
      <c r="R197" s="108"/>
      <c r="S197" s="270"/>
      <c r="U197" s="253"/>
    </row>
    <row r="198" spans="1:21" ht="12.75">
      <c r="A198" s="116">
        <f t="shared" si="11"/>
        <v>192</v>
      </c>
      <c r="B198" s="111" t="s">
        <v>899</v>
      </c>
      <c r="C198" s="111">
        <v>21101</v>
      </c>
      <c r="D198" s="122" t="s">
        <v>585</v>
      </c>
      <c r="E198" s="115">
        <v>6585.9</v>
      </c>
      <c r="F198" s="115">
        <v>6569.56</v>
      </c>
      <c r="G198" s="115">
        <v>7145.530000000001</v>
      </c>
      <c r="H198" s="115">
        <v>1518.48</v>
      </c>
      <c r="I198" s="115">
        <v>3441.96</v>
      </c>
      <c r="J198" s="115">
        <v>4432.25</v>
      </c>
      <c r="K198" s="115">
        <v>4803.55</v>
      </c>
      <c r="L198" s="115">
        <v>4797.8</v>
      </c>
      <c r="M198" s="115">
        <v>4156.79</v>
      </c>
      <c r="N198" s="115">
        <v>10482.71</v>
      </c>
      <c r="O198" s="115">
        <v>7104.01</v>
      </c>
      <c r="P198" s="115">
        <v>7696.72</v>
      </c>
      <c r="Q198" s="115">
        <f t="shared" si="10"/>
        <v>68735.26</v>
      </c>
      <c r="R198" s="108"/>
      <c r="S198" s="270"/>
      <c r="U198" s="253"/>
    </row>
    <row r="199" spans="1:21" ht="12.75">
      <c r="A199" s="116">
        <f t="shared" si="11"/>
        <v>193</v>
      </c>
      <c r="B199" s="111" t="s">
        <v>900</v>
      </c>
      <c r="C199" s="111">
        <v>21102</v>
      </c>
      <c r="D199" s="122" t="s">
        <v>585</v>
      </c>
      <c r="E199" s="115">
        <v>366.78</v>
      </c>
      <c r="F199" s="115">
        <v>355.4</v>
      </c>
      <c r="G199" s="115">
        <v>366.2</v>
      </c>
      <c r="H199" s="115">
        <v>374.76</v>
      </c>
      <c r="I199" s="115">
        <v>298.75</v>
      </c>
      <c r="J199" s="115">
        <v>340.67</v>
      </c>
      <c r="K199" s="115">
        <v>146.97</v>
      </c>
      <c r="L199" s="115">
        <v>148.58</v>
      </c>
      <c r="M199" s="115">
        <v>161</v>
      </c>
      <c r="N199" s="115">
        <v>628.59</v>
      </c>
      <c r="O199" s="115">
        <v>767.05</v>
      </c>
      <c r="P199" s="115">
        <v>466.21</v>
      </c>
      <c r="Q199" s="115">
        <f t="shared" si="10"/>
        <v>4420.96</v>
      </c>
      <c r="R199" s="108"/>
      <c r="S199" s="270"/>
      <c r="U199" s="253"/>
    </row>
    <row r="200" spans="1:21" ht="12.75">
      <c r="A200" s="116">
        <f t="shared" si="11"/>
        <v>194</v>
      </c>
      <c r="B200" s="111" t="s">
        <v>660</v>
      </c>
      <c r="C200" s="121">
        <v>21209</v>
      </c>
      <c r="D200" s="230" t="s">
        <v>717</v>
      </c>
      <c r="E200" s="125"/>
      <c r="F200" s="125"/>
      <c r="G200" s="125"/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1"/>
      <c r="O200" s="151"/>
      <c r="P200" s="151"/>
      <c r="Q200" s="115">
        <f>E200+F200+G200+H200+I200+J200+K200+L200+M200+N200+O200+P200</f>
        <v>0</v>
      </c>
      <c r="S200" s="270"/>
      <c r="U200" s="253"/>
    </row>
    <row r="201" spans="1:21" ht="12.75">
      <c r="A201" s="116">
        <f aca="true" t="shared" si="21" ref="A201:A264">A200+1</f>
        <v>195</v>
      </c>
      <c r="B201" s="111" t="s">
        <v>901</v>
      </c>
      <c r="C201" s="117">
        <v>21207</v>
      </c>
      <c r="D201" s="128">
        <v>1</v>
      </c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5">
        <f>E201+F201+G201+H201+I201+J201+K201+L201+M201+N201+O201+P201</f>
        <v>0</v>
      </c>
      <c r="R201" s="124" t="s">
        <v>902</v>
      </c>
      <c r="S201" s="270"/>
      <c r="U201" s="253"/>
    </row>
    <row r="202" spans="1:21" ht="12.75">
      <c r="A202" s="116">
        <f t="shared" si="21"/>
        <v>196</v>
      </c>
      <c r="B202" s="111" t="s">
        <v>661</v>
      </c>
      <c r="C202" s="121">
        <v>21204</v>
      </c>
      <c r="D202" s="230" t="s">
        <v>717</v>
      </c>
      <c r="E202" s="125"/>
      <c r="F202" s="125"/>
      <c r="G202" s="125"/>
      <c r="H202" s="151">
        <v>0</v>
      </c>
      <c r="I202" s="234">
        <v>0</v>
      </c>
      <c r="J202" s="234">
        <v>0</v>
      </c>
      <c r="K202" s="234">
        <v>0</v>
      </c>
      <c r="L202" s="234">
        <v>0</v>
      </c>
      <c r="M202" s="234">
        <v>0</v>
      </c>
      <c r="N202" s="234"/>
      <c r="O202" s="234"/>
      <c r="P202" s="234"/>
      <c r="Q202" s="115">
        <f>E202+F202+G202+H202+I202+J202+K202+L202+M202+N202+O202+P202</f>
        <v>0</v>
      </c>
      <c r="S202" s="274"/>
      <c r="U202" s="253"/>
    </row>
    <row r="203" spans="1:21" ht="12.75">
      <c r="A203" s="116">
        <f t="shared" si="21"/>
        <v>197</v>
      </c>
      <c r="B203" s="111" t="s">
        <v>903</v>
      </c>
      <c r="C203" s="111">
        <v>21530</v>
      </c>
      <c r="D203" s="126" t="s">
        <v>583</v>
      </c>
      <c r="E203" s="144">
        <v>10491.8</v>
      </c>
      <c r="F203" s="115">
        <v>13402.8</v>
      </c>
      <c r="G203" s="115">
        <v>13843.4</v>
      </c>
      <c r="H203" s="115">
        <v>11470.2</v>
      </c>
      <c r="I203" s="115">
        <v>10518</v>
      </c>
      <c r="J203" s="115">
        <v>13632.4</v>
      </c>
      <c r="K203" s="115">
        <v>10294.8</v>
      </c>
      <c r="L203" s="115">
        <v>9922.2</v>
      </c>
      <c r="M203" s="115">
        <v>13220.4</v>
      </c>
      <c r="N203" s="115">
        <v>12571.8</v>
      </c>
      <c r="O203" s="115">
        <v>13031.8</v>
      </c>
      <c r="P203" s="115">
        <v>14089.8</v>
      </c>
      <c r="Q203" s="115">
        <f>E203+F203+G203+H203+I216+J203+K203+L203+M203+N203+O203+P203</f>
        <v>154278.19999999998</v>
      </c>
      <c r="R203" s="257"/>
      <c r="S203" s="270"/>
      <c r="U203" s="253"/>
    </row>
    <row r="204" spans="1:21" ht="12.75">
      <c r="A204" s="116">
        <f t="shared" si="21"/>
        <v>198</v>
      </c>
      <c r="B204" s="111" t="s">
        <v>904</v>
      </c>
      <c r="C204" s="111">
        <v>21531</v>
      </c>
      <c r="D204" s="126" t="s">
        <v>583</v>
      </c>
      <c r="E204" s="144">
        <v>15891.8</v>
      </c>
      <c r="F204" s="115">
        <v>20536</v>
      </c>
      <c r="G204" s="115">
        <v>21019.4</v>
      </c>
      <c r="H204" s="115">
        <v>17139.6</v>
      </c>
      <c r="I204" s="115">
        <v>15563</v>
      </c>
      <c r="J204" s="115">
        <v>19999.2</v>
      </c>
      <c r="K204" s="115">
        <v>15180</v>
      </c>
      <c r="L204" s="115">
        <v>16146</v>
      </c>
      <c r="M204" s="115">
        <v>20074.4</v>
      </c>
      <c r="N204" s="115">
        <v>19531.6</v>
      </c>
      <c r="O204" s="115">
        <v>18275.8</v>
      </c>
      <c r="P204" s="115">
        <v>21316.4</v>
      </c>
      <c r="Q204" s="115">
        <f>E204+F204+G204+H204+I217+J204+K204+L204+M204+N204+O204+P204</f>
        <v>219947.59999999998</v>
      </c>
      <c r="R204" s="257"/>
      <c r="S204" s="270"/>
      <c r="U204" s="253"/>
    </row>
    <row r="205" spans="1:21" ht="12.75">
      <c r="A205" s="116">
        <f t="shared" si="21"/>
        <v>199</v>
      </c>
      <c r="B205" s="111" t="s">
        <v>905</v>
      </c>
      <c r="C205" s="111">
        <v>21532</v>
      </c>
      <c r="D205" s="126" t="s">
        <v>583</v>
      </c>
      <c r="E205" s="144">
        <v>24878</v>
      </c>
      <c r="F205" s="115">
        <v>22954</v>
      </c>
      <c r="G205" s="115">
        <v>20366.8</v>
      </c>
      <c r="H205" s="115">
        <v>17637.6</v>
      </c>
      <c r="I205" s="115">
        <v>17482</v>
      </c>
      <c r="J205" s="115">
        <v>22102</v>
      </c>
      <c r="K205" s="115">
        <v>18022.8</v>
      </c>
      <c r="L205" s="115">
        <v>19177.4</v>
      </c>
      <c r="M205" s="115">
        <v>23496.8</v>
      </c>
      <c r="N205" s="115">
        <v>23952.2</v>
      </c>
      <c r="O205" s="115">
        <v>22567.6</v>
      </c>
      <c r="P205" s="115">
        <v>25654.2</v>
      </c>
      <c r="Q205" s="115">
        <f>E205+F205+G205+H205+I203+J205+K205+L205+M205+N205+O205+P205</f>
        <v>251327.4</v>
      </c>
      <c r="R205" s="257"/>
      <c r="S205" s="270"/>
      <c r="U205" s="253"/>
    </row>
    <row r="206" spans="1:21" ht="12.75">
      <c r="A206" s="116">
        <f t="shared" si="21"/>
        <v>200</v>
      </c>
      <c r="B206" s="111" t="s">
        <v>906</v>
      </c>
      <c r="C206" s="111">
        <v>21533</v>
      </c>
      <c r="D206" s="126" t="s">
        <v>583</v>
      </c>
      <c r="E206" s="144">
        <v>7917.2</v>
      </c>
      <c r="F206" s="115">
        <v>9025</v>
      </c>
      <c r="G206" s="115">
        <v>7802.4</v>
      </c>
      <c r="H206" s="115">
        <v>6864.8</v>
      </c>
      <c r="I206" s="115">
        <v>6026.4</v>
      </c>
      <c r="J206" s="115">
        <v>6311.4</v>
      </c>
      <c r="K206" s="115">
        <v>6246.8</v>
      </c>
      <c r="L206" s="115">
        <v>5170.4</v>
      </c>
      <c r="M206" s="115">
        <v>7194.400000000001</v>
      </c>
      <c r="N206" s="115">
        <v>7631.4</v>
      </c>
      <c r="O206" s="115">
        <v>7401.4</v>
      </c>
      <c r="P206" s="115">
        <v>8349</v>
      </c>
      <c r="Q206" s="115">
        <f aca="true" t="shared" si="22" ref="Q206:Q269">E206+F206+G206+H206+I206+J206+K206+L206+M206+N206+O206+P206</f>
        <v>85940.59999999999</v>
      </c>
      <c r="R206" s="257"/>
      <c r="S206" s="270"/>
      <c r="U206" s="253"/>
    </row>
    <row r="207" spans="1:21" ht="12.75">
      <c r="A207" s="116">
        <f t="shared" si="21"/>
        <v>201</v>
      </c>
      <c r="B207" s="111" t="s">
        <v>907</v>
      </c>
      <c r="C207" s="111">
        <v>21534</v>
      </c>
      <c r="D207" s="126" t="s">
        <v>583</v>
      </c>
      <c r="E207" s="144">
        <v>6665.4</v>
      </c>
      <c r="F207" s="115">
        <v>7503.8</v>
      </c>
      <c r="G207" s="115">
        <v>7503.8</v>
      </c>
      <c r="H207" s="115">
        <v>6765.6</v>
      </c>
      <c r="I207" s="115">
        <v>6595.4</v>
      </c>
      <c r="J207" s="115">
        <v>7875.4</v>
      </c>
      <c r="K207" s="115">
        <v>6959.8</v>
      </c>
      <c r="L207" s="115">
        <v>5699.4</v>
      </c>
      <c r="M207" s="115">
        <v>8551.4</v>
      </c>
      <c r="N207" s="115">
        <v>14071.4</v>
      </c>
      <c r="O207" s="115">
        <v>14071.4</v>
      </c>
      <c r="P207" s="115">
        <v>9823.76</v>
      </c>
      <c r="Q207" s="115">
        <f t="shared" si="22"/>
        <v>102086.56</v>
      </c>
      <c r="R207" s="257"/>
      <c r="S207" s="270"/>
      <c r="U207" s="253"/>
    </row>
    <row r="208" spans="1:21" ht="12.75">
      <c r="A208" s="116">
        <f t="shared" si="21"/>
        <v>202</v>
      </c>
      <c r="B208" s="111" t="s">
        <v>908</v>
      </c>
      <c r="C208" s="111">
        <v>21535</v>
      </c>
      <c r="D208" s="126" t="s">
        <v>583</v>
      </c>
      <c r="E208" s="144">
        <v>9424.8</v>
      </c>
      <c r="F208" s="115">
        <v>13105.2</v>
      </c>
      <c r="G208" s="115">
        <v>13303.6</v>
      </c>
      <c r="H208" s="115">
        <v>11597.6</v>
      </c>
      <c r="I208" s="115">
        <v>9722.4</v>
      </c>
      <c r="J208" s="115">
        <v>11384.6</v>
      </c>
      <c r="K208" s="115">
        <v>11605.8</v>
      </c>
      <c r="L208" s="115">
        <v>9600.2</v>
      </c>
      <c r="M208" s="115">
        <v>12709.800000000001</v>
      </c>
      <c r="N208" s="115">
        <v>12213</v>
      </c>
      <c r="O208" s="115">
        <v>10501.8</v>
      </c>
      <c r="P208" s="115">
        <v>11090.6</v>
      </c>
      <c r="Q208" s="115">
        <f t="shared" si="22"/>
        <v>136259.4</v>
      </c>
      <c r="R208" s="257"/>
      <c r="S208" s="270"/>
      <c r="U208" s="253"/>
    </row>
    <row r="209" spans="1:21" ht="12.75">
      <c r="A209" s="116">
        <f t="shared" si="21"/>
        <v>203</v>
      </c>
      <c r="B209" s="111" t="s">
        <v>909</v>
      </c>
      <c r="C209" s="111">
        <v>21536</v>
      </c>
      <c r="D209" s="126" t="s">
        <v>583</v>
      </c>
      <c r="E209" s="144">
        <v>12806.6</v>
      </c>
      <c r="F209" s="115">
        <v>8711.8</v>
      </c>
      <c r="G209" s="115">
        <v>9152.4</v>
      </c>
      <c r="H209" s="115">
        <v>7191.6</v>
      </c>
      <c r="I209" s="115">
        <v>6950.4</v>
      </c>
      <c r="J209" s="115">
        <v>8898.6</v>
      </c>
      <c r="K209" s="115">
        <v>8192.6</v>
      </c>
      <c r="L209" s="115">
        <v>7410.6</v>
      </c>
      <c r="M209" s="115">
        <v>11306.800000000001</v>
      </c>
      <c r="N209" s="115">
        <v>11265.4</v>
      </c>
      <c r="O209" s="115">
        <v>6858.6</v>
      </c>
      <c r="P209" s="115">
        <v>10285.6</v>
      </c>
      <c r="Q209" s="115">
        <f t="shared" si="22"/>
        <v>109031.00000000001</v>
      </c>
      <c r="R209" s="257"/>
      <c r="S209" s="270"/>
      <c r="U209" s="253"/>
    </row>
    <row r="210" spans="1:21" ht="12.75">
      <c r="A210" s="116">
        <f t="shared" si="21"/>
        <v>204</v>
      </c>
      <c r="B210" s="111" t="s">
        <v>910</v>
      </c>
      <c r="C210" s="111">
        <v>21537</v>
      </c>
      <c r="D210" s="126" t="s">
        <v>583</v>
      </c>
      <c r="E210" s="144">
        <v>11716.4</v>
      </c>
      <c r="F210" s="115">
        <v>11228</v>
      </c>
      <c r="G210" s="115">
        <v>9451</v>
      </c>
      <c r="H210" s="115">
        <v>8498.8</v>
      </c>
      <c r="I210" s="115">
        <v>7774.2</v>
      </c>
      <c r="J210" s="115">
        <v>9793.4</v>
      </c>
      <c r="K210" s="115">
        <v>9379.4</v>
      </c>
      <c r="L210" s="115">
        <v>8243.2</v>
      </c>
      <c r="M210" s="115">
        <v>11247</v>
      </c>
      <c r="N210" s="115">
        <v>10455.8</v>
      </c>
      <c r="O210" s="115">
        <v>9742.8</v>
      </c>
      <c r="P210" s="115">
        <v>11081.4</v>
      </c>
      <c r="Q210" s="115">
        <f t="shared" si="22"/>
        <v>118611.4</v>
      </c>
      <c r="R210" s="257"/>
      <c r="S210" s="270"/>
      <c r="U210" s="253"/>
    </row>
    <row r="211" spans="1:21" ht="12.75">
      <c r="A211" s="116">
        <f t="shared" si="21"/>
        <v>205</v>
      </c>
      <c r="B211" s="111" t="s">
        <v>911</v>
      </c>
      <c r="C211" s="111">
        <v>21538</v>
      </c>
      <c r="D211" s="126" t="s">
        <v>583</v>
      </c>
      <c r="E211" s="144">
        <v>23179.6</v>
      </c>
      <c r="F211" s="115">
        <v>22539.6</v>
      </c>
      <c r="G211" s="115">
        <v>23349.8</v>
      </c>
      <c r="H211" s="115">
        <v>14512.6</v>
      </c>
      <c r="I211" s="115">
        <v>18021.8</v>
      </c>
      <c r="J211" s="115">
        <v>19871.8</v>
      </c>
      <c r="K211" s="115">
        <v>19563.8</v>
      </c>
      <c r="L211" s="115">
        <v>17227</v>
      </c>
      <c r="M211" s="115">
        <v>23151.8</v>
      </c>
      <c r="N211" s="115">
        <v>26647.8</v>
      </c>
      <c r="O211" s="115">
        <v>16615.2</v>
      </c>
      <c r="P211" s="115">
        <v>23690</v>
      </c>
      <c r="Q211" s="115">
        <f t="shared" si="22"/>
        <v>248370.8</v>
      </c>
      <c r="R211" s="257"/>
      <c r="S211" s="270"/>
      <c r="U211" s="253"/>
    </row>
    <row r="212" spans="1:21" ht="12.75">
      <c r="A212" s="116">
        <f t="shared" si="21"/>
        <v>206</v>
      </c>
      <c r="B212" s="111" t="s">
        <v>912</v>
      </c>
      <c r="C212" s="111">
        <v>21539</v>
      </c>
      <c r="D212" s="126" t="s">
        <v>583</v>
      </c>
      <c r="E212" s="144">
        <v>16075.6</v>
      </c>
      <c r="F212" s="115">
        <v>16798.2</v>
      </c>
      <c r="G212" s="115">
        <v>17850.6</v>
      </c>
      <c r="H212" s="115">
        <v>14128.4</v>
      </c>
      <c r="I212" s="115">
        <v>13389.2</v>
      </c>
      <c r="J212" s="115">
        <v>15593.2</v>
      </c>
      <c r="K212" s="115">
        <v>15856.2</v>
      </c>
      <c r="L212" s="115">
        <v>13597.6</v>
      </c>
      <c r="M212" s="115">
        <v>18680.6</v>
      </c>
      <c r="N212" s="115">
        <v>17250</v>
      </c>
      <c r="O212" s="115">
        <v>16583</v>
      </c>
      <c r="P212" s="115">
        <v>18933.6</v>
      </c>
      <c r="Q212" s="115">
        <f t="shared" si="22"/>
        <v>194736.2</v>
      </c>
      <c r="R212" s="257"/>
      <c r="S212" s="270"/>
      <c r="U212" s="253"/>
    </row>
    <row r="213" spans="1:21" ht="12.75">
      <c r="A213" s="116">
        <f t="shared" si="21"/>
        <v>207</v>
      </c>
      <c r="B213" s="111" t="s">
        <v>913</v>
      </c>
      <c r="C213" s="111">
        <v>21540</v>
      </c>
      <c r="D213" s="126" t="s">
        <v>583</v>
      </c>
      <c r="E213" s="144">
        <v>29353</v>
      </c>
      <c r="F213" s="115">
        <v>28822.8</v>
      </c>
      <c r="G213" s="115">
        <v>22490.2</v>
      </c>
      <c r="H213" s="115">
        <v>30962.4</v>
      </c>
      <c r="I213" s="115">
        <v>23223.4</v>
      </c>
      <c r="J213" s="115">
        <v>24603.6</v>
      </c>
      <c r="K213" s="115">
        <v>23975.2</v>
      </c>
      <c r="L213" s="115">
        <v>21417.6</v>
      </c>
      <c r="M213" s="115">
        <v>28966.2</v>
      </c>
      <c r="N213" s="115">
        <v>28828.2</v>
      </c>
      <c r="O213" s="115">
        <v>25327.6</v>
      </c>
      <c r="P213" s="115">
        <v>28943.2</v>
      </c>
      <c r="Q213" s="115">
        <f t="shared" si="22"/>
        <v>316913.4</v>
      </c>
      <c r="R213" s="257"/>
      <c r="S213" s="270"/>
      <c r="U213" s="253"/>
    </row>
    <row r="214" spans="1:21" ht="12.75">
      <c r="A214" s="116">
        <f t="shared" si="21"/>
        <v>208</v>
      </c>
      <c r="B214" s="111" t="s">
        <v>914</v>
      </c>
      <c r="C214" s="111">
        <v>21541</v>
      </c>
      <c r="D214" s="126" t="s">
        <v>583</v>
      </c>
      <c r="E214" s="144">
        <v>30251.8</v>
      </c>
      <c r="F214" s="115">
        <v>26038.2</v>
      </c>
      <c r="G214" s="115">
        <v>28468.8</v>
      </c>
      <c r="H214" s="115">
        <v>22201.2</v>
      </c>
      <c r="I214" s="115">
        <v>20922.2</v>
      </c>
      <c r="J214" s="115">
        <v>23197.2</v>
      </c>
      <c r="K214" s="115">
        <v>22852.8</v>
      </c>
      <c r="L214" s="115">
        <v>19021</v>
      </c>
      <c r="M214" s="115">
        <v>26468.4</v>
      </c>
      <c r="N214" s="115">
        <v>24886</v>
      </c>
      <c r="O214" s="115">
        <v>23299</v>
      </c>
      <c r="P214" s="115">
        <v>26008.4</v>
      </c>
      <c r="Q214" s="115">
        <f t="shared" si="22"/>
        <v>293615</v>
      </c>
      <c r="R214" s="257"/>
      <c r="S214" s="270"/>
      <c r="U214" s="253"/>
    </row>
    <row r="215" spans="1:21" ht="12.75">
      <c r="A215" s="116">
        <f t="shared" si="21"/>
        <v>209</v>
      </c>
      <c r="B215" s="111" t="s">
        <v>915</v>
      </c>
      <c r="C215" s="111">
        <v>21542</v>
      </c>
      <c r="D215" s="126" t="s">
        <v>583</v>
      </c>
      <c r="E215" s="144">
        <v>17485</v>
      </c>
      <c r="F215" s="115">
        <v>23550.2</v>
      </c>
      <c r="G215" s="115">
        <v>25623.8</v>
      </c>
      <c r="H215" s="115">
        <v>20398</v>
      </c>
      <c r="I215" s="115">
        <v>19288.2</v>
      </c>
      <c r="J215" s="115">
        <v>20284.2</v>
      </c>
      <c r="K215" s="115">
        <v>20654</v>
      </c>
      <c r="L215" s="115">
        <v>19499.4</v>
      </c>
      <c r="M215" s="115">
        <v>27043.4</v>
      </c>
      <c r="N215" s="115">
        <v>25888.8</v>
      </c>
      <c r="O215" s="115">
        <v>25760</v>
      </c>
      <c r="P215" s="115">
        <v>27383.8</v>
      </c>
      <c r="Q215" s="115">
        <f t="shared" si="22"/>
        <v>272858.8</v>
      </c>
      <c r="R215" s="257"/>
      <c r="S215" s="270"/>
      <c r="U215" s="253"/>
    </row>
    <row r="216" spans="1:21" ht="12.75">
      <c r="A216" s="116">
        <f t="shared" si="21"/>
        <v>210</v>
      </c>
      <c r="B216" s="111" t="s">
        <v>916</v>
      </c>
      <c r="C216" s="111">
        <v>21528</v>
      </c>
      <c r="D216" s="126" t="s">
        <v>583</v>
      </c>
      <c r="E216" s="144">
        <v>21721.8</v>
      </c>
      <c r="F216" s="115">
        <v>23963.6</v>
      </c>
      <c r="G216" s="115">
        <v>22712.8</v>
      </c>
      <c r="H216" s="115">
        <v>18604.4</v>
      </c>
      <c r="I216" s="115">
        <v>18306.8</v>
      </c>
      <c r="J216" s="115">
        <v>24422.8</v>
      </c>
      <c r="K216" s="115">
        <v>19214.2</v>
      </c>
      <c r="L216" s="115">
        <v>17162.6</v>
      </c>
      <c r="M216" s="115">
        <v>24697.4</v>
      </c>
      <c r="N216" s="115">
        <v>23395.6</v>
      </c>
      <c r="O216" s="115">
        <v>21656.8</v>
      </c>
      <c r="P216" s="115">
        <v>24260.4</v>
      </c>
      <c r="Q216" s="115">
        <f t="shared" si="22"/>
        <v>260119.2</v>
      </c>
      <c r="R216" s="257"/>
      <c r="S216" s="270"/>
      <c r="U216" s="253"/>
    </row>
    <row r="217" spans="1:21" ht="12.75">
      <c r="A217" s="116">
        <f t="shared" si="21"/>
        <v>211</v>
      </c>
      <c r="B217" s="111" t="s">
        <v>917</v>
      </c>
      <c r="C217" s="111">
        <v>21529</v>
      </c>
      <c r="D217" s="126" t="s">
        <v>583</v>
      </c>
      <c r="E217" s="144">
        <v>14528.2</v>
      </c>
      <c r="F217" s="115">
        <v>17394.4</v>
      </c>
      <c r="G217" s="115">
        <v>18617</v>
      </c>
      <c r="H217" s="115">
        <v>15050.4</v>
      </c>
      <c r="I217" s="115">
        <v>14837.4</v>
      </c>
      <c r="J217" s="115">
        <v>19088.8</v>
      </c>
      <c r="K217" s="115">
        <v>15129.4</v>
      </c>
      <c r="L217" s="115">
        <v>14007</v>
      </c>
      <c r="M217" s="115">
        <v>20069.8</v>
      </c>
      <c r="N217" s="115">
        <v>19021</v>
      </c>
      <c r="O217" s="115">
        <v>17176.4</v>
      </c>
      <c r="P217" s="115">
        <v>19669.6</v>
      </c>
      <c r="Q217" s="115">
        <f t="shared" si="22"/>
        <v>204589.4</v>
      </c>
      <c r="R217" s="257"/>
      <c r="S217" s="270"/>
      <c r="U217" s="253"/>
    </row>
    <row r="218" spans="1:21" ht="12.75">
      <c r="A218" s="116">
        <f t="shared" si="21"/>
        <v>212</v>
      </c>
      <c r="B218" s="111" t="s">
        <v>918</v>
      </c>
      <c r="C218" s="111">
        <v>21367</v>
      </c>
      <c r="D218" s="122">
        <v>4</v>
      </c>
      <c r="E218" s="113">
        <f>ROUND(0.04*521.42,0)*3.53*4</f>
        <v>296.52</v>
      </c>
      <c r="F218" s="114">
        <f>ROUND(0.04*409.08,0)*3.53*4</f>
        <v>225.92</v>
      </c>
      <c r="G218" s="114">
        <f>ROUND(0.04*366.33,0)*3.53*4</f>
        <v>211.79999999999998</v>
      </c>
      <c r="H218" s="114">
        <f>ROUND(0.04*254.17,0)*3.53*4</f>
        <v>141.2</v>
      </c>
      <c r="I218" s="114">
        <f>ROUND(0.04*168.83,0)*3.53*4</f>
        <v>98.83999999999999</v>
      </c>
      <c r="J218" s="114">
        <f>ROUND(0.04*102.5,0)*3.53*4</f>
        <v>56.48</v>
      </c>
      <c r="K218" s="114">
        <f>ROUND(0.04*143.25,0)*3.84*4</f>
        <v>92.16</v>
      </c>
      <c r="L218" s="114">
        <f>(0.04*235.08)*3.84*4</f>
        <v>144.433152</v>
      </c>
      <c r="M218" s="131">
        <f>54.4*2.83*3.84</f>
        <v>591.1756799999999</v>
      </c>
      <c r="N218" s="131">
        <f>54.4*2.83*3.84</f>
        <v>591.1756799999999</v>
      </c>
      <c r="O218" s="131">
        <f>54.4*2.83*3.84</f>
        <v>591.1756799999999</v>
      </c>
      <c r="P218" s="131">
        <f>54.4*2.83*3.84</f>
        <v>591.1756799999999</v>
      </c>
      <c r="Q218" s="115">
        <f t="shared" si="22"/>
        <v>3632.0558719999995</v>
      </c>
      <c r="R218" s="108"/>
      <c r="S218" s="270"/>
      <c r="U218" s="253"/>
    </row>
    <row r="219" spans="1:21" ht="12.75">
      <c r="A219" s="116">
        <f t="shared" si="21"/>
        <v>213</v>
      </c>
      <c r="B219" s="145" t="s">
        <v>919</v>
      </c>
      <c r="C219" s="111">
        <v>21371</v>
      </c>
      <c r="D219" s="122">
        <v>3</v>
      </c>
      <c r="E219" s="114">
        <f>ROUND(0.04*521.42,0)*3.53*3</f>
        <v>222.39</v>
      </c>
      <c r="F219" s="114">
        <f>ROUND(0.04*409.08,0)*3.53*3</f>
        <v>169.44</v>
      </c>
      <c r="G219" s="114">
        <f>ROUND(0.04*366.33,0)*3.53*3</f>
        <v>158.85</v>
      </c>
      <c r="H219" s="114">
        <f>ROUND(0.04*254.17,0)*3.53*3</f>
        <v>105.89999999999999</v>
      </c>
      <c r="I219" s="114">
        <f>ROUND(0.04*168.83,0)*3.53*3</f>
        <v>74.13</v>
      </c>
      <c r="J219" s="114">
        <f>ROUND(0.04*102.5,0)*3.53*3</f>
        <v>42.36</v>
      </c>
      <c r="K219" s="114">
        <f>ROUND(0.04*143.25,0)*3.84*3</f>
        <v>69.12</v>
      </c>
      <c r="L219" s="114">
        <f>(0.04*235.08)*3.84*3</f>
        <v>108.324864</v>
      </c>
      <c r="M219" s="114">
        <f>(0.04*314.166)*3.84*3</f>
        <v>144.7676928</v>
      </c>
      <c r="N219" s="261">
        <f>(0.04*430.833)*3.84*3</f>
        <v>198.52784640000004</v>
      </c>
      <c r="O219" s="261"/>
      <c r="P219" s="261"/>
      <c r="Q219" s="115">
        <f t="shared" si="22"/>
        <v>1293.8104032</v>
      </c>
      <c r="R219" s="108" t="s">
        <v>1371</v>
      </c>
      <c r="S219" s="272"/>
      <c r="U219" s="253"/>
    </row>
    <row r="220" spans="1:21" ht="12.75">
      <c r="A220" s="116">
        <f t="shared" si="21"/>
        <v>214</v>
      </c>
      <c r="B220" s="111" t="s">
        <v>662</v>
      </c>
      <c r="C220" s="121">
        <v>21373</v>
      </c>
      <c r="D220" s="230" t="s">
        <v>717</v>
      </c>
      <c r="E220" s="125"/>
      <c r="F220" s="125"/>
      <c r="G220" s="125"/>
      <c r="H220" s="151">
        <v>0</v>
      </c>
      <c r="I220" s="151">
        <v>0</v>
      </c>
      <c r="J220" s="151">
        <v>0</v>
      </c>
      <c r="K220" s="151">
        <v>0</v>
      </c>
      <c r="L220" s="151">
        <v>0</v>
      </c>
      <c r="M220" s="151">
        <v>0</v>
      </c>
      <c r="N220" s="151">
        <v>0</v>
      </c>
      <c r="O220" s="151">
        <v>0</v>
      </c>
      <c r="P220" s="151">
        <v>0</v>
      </c>
      <c r="Q220" s="115">
        <f t="shared" si="22"/>
        <v>0</v>
      </c>
      <c r="S220" s="270"/>
      <c r="U220" s="253"/>
    </row>
    <row r="221" spans="1:21" ht="12.75">
      <c r="A221" s="116">
        <f t="shared" si="21"/>
        <v>215</v>
      </c>
      <c r="B221" s="111" t="s">
        <v>663</v>
      </c>
      <c r="C221" s="121">
        <v>21374</v>
      </c>
      <c r="D221" s="230" t="s">
        <v>717</v>
      </c>
      <c r="E221" s="125"/>
      <c r="F221" s="125"/>
      <c r="G221" s="125"/>
      <c r="H221" s="151">
        <v>0</v>
      </c>
      <c r="I221" s="151">
        <v>0</v>
      </c>
      <c r="J221" s="151">
        <v>0</v>
      </c>
      <c r="K221" s="151">
        <v>0</v>
      </c>
      <c r="L221" s="151">
        <v>0</v>
      </c>
      <c r="M221" s="151">
        <v>0</v>
      </c>
      <c r="N221" s="151">
        <v>0</v>
      </c>
      <c r="O221" s="151">
        <v>0</v>
      </c>
      <c r="P221" s="151">
        <v>0</v>
      </c>
      <c r="Q221" s="115">
        <f t="shared" si="22"/>
        <v>0</v>
      </c>
      <c r="S221" s="270"/>
      <c r="U221" s="253"/>
    </row>
    <row r="222" spans="1:21" ht="12.75">
      <c r="A222" s="116">
        <f t="shared" si="21"/>
        <v>216</v>
      </c>
      <c r="B222" s="111" t="s">
        <v>664</v>
      </c>
      <c r="C222" s="121">
        <v>21361</v>
      </c>
      <c r="D222" s="230" t="s">
        <v>717</v>
      </c>
      <c r="E222" s="125"/>
      <c r="F222" s="125"/>
      <c r="G222" s="125"/>
      <c r="H222" s="151">
        <v>0</v>
      </c>
      <c r="I222" s="151">
        <v>0</v>
      </c>
      <c r="J222" s="151">
        <v>0</v>
      </c>
      <c r="K222" s="151">
        <v>0</v>
      </c>
      <c r="L222" s="151">
        <v>0</v>
      </c>
      <c r="M222" s="151">
        <v>0</v>
      </c>
      <c r="N222" s="151">
        <v>0</v>
      </c>
      <c r="O222" s="151">
        <v>0</v>
      </c>
      <c r="P222" s="151">
        <v>0</v>
      </c>
      <c r="Q222" s="115">
        <f t="shared" si="22"/>
        <v>0</v>
      </c>
      <c r="S222" s="270"/>
      <c r="U222" s="253"/>
    </row>
    <row r="223" spans="1:21" ht="12.75">
      <c r="A223" s="116">
        <f t="shared" si="21"/>
        <v>217</v>
      </c>
      <c r="B223" s="111" t="s">
        <v>920</v>
      </c>
      <c r="C223" s="121">
        <v>21816</v>
      </c>
      <c r="D223" s="230" t="s">
        <v>717</v>
      </c>
      <c r="E223" s="125"/>
      <c r="F223" s="125"/>
      <c r="G223" s="125"/>
      <c r="H223" s="151">
        <v>0</v>
      </c>
      <c r="I223" s="151">
        <v>0</v>
      </c>
      <c r="J223" s="151">
        <v>0</v>
      </c>
      <c r="K223" s="151">
        <v>0</v>
      </c>
      <c r="L223" s="151">
        <v>0</v>
      </c>
      <c r="M223" s="151">
        <v>0</v>
      </c>
      <c r="N223" s="151">
        <v>0</v>
      </c>
      <c r="O223" s="151">
        <v>0</v>
      </c>
      <c r="P223" s="151">
        <v>0</v>
      </c>
      <c r="Q223" s="115">
        <f t="shared" si="22"/>
        <v>0</v>
      </c>
      <c r="S223" s="270"/>
      <c r="U223" s="253"/>
    </row>
    <row r="224" spans="1:21" ht="12.75">
      <c r="A224" s="116">
        <f t="shared" si="21"/>
        <v>218</v>
      </c>
      <c r="B224" s="111" t="s">
        <v>602</v>
      </c>
      <c r="C224" s="117">
        <v>12216</v>
      </c>
      <c r="D224" s="128">
        <v>3</v>
      </c>
      <c r="E224" s="119"/>
      <c r="F224" s="119"/>
      <c r="G224" s="119"/>
      <c r="H224" s="119"/>
      <c r="I224" s="119"/>
      <c r="J224" s="119"/>
      <c r="K224" s="119"/>
      <c r="L224" s="119"/>
      <c r="M224" s="131">
        <f>44.8*2.83*3.84</f>
        <v>486.85056</v>
      </c>
      <c r="N224" s="119"/>
      <c r="O224" s="119"/>
      <c r="P224" s="119"/>
      <c r="Q224" s="119">
        <f t="shared" si="22"/>
        <v>486.85056</v>
      </c>
      <c r="R224" s="124" t="s">
        <v>921</v>
      </c>
      <c r="S224" s="270"/>
      <c r="U224" s="253"/>
    </row>
    <row r="225" spans="1:21" ht="12.75">
      <c r="A225" s="116">
        <f t="shared" si="21"/>
        <v>219</v>
      </c>
      <c r="B225" s="111" t="s">
        <v>245</v>
      </c>
      <c r="C225" s="111">
        <v>12219</v>
      </c>
      <c r="D225" s="122" t="s">
        <v>585</v>
      </c>
      <c r="E225" s="115">
        <v>262.27</v>
      </c>
      <c r="F225" s="115">
        <v>134.37</v>
      </c>
      <c r="G225" s="115">
        <v>154.26</v>
      </c>
      <c r="H225" s="115">
        <v>135.78</v>
      </c>
      <c r="I225" s="115">
        <v>72.51</v>
      </c>
      <c r="J225" s="115">
        <v>0</v>
      </c>
      <c r="K225" s="115">
        <v>20.24</v>
      </c>
      <c r="L225" s="115">
        <v>0</v>
      </c>
      <c r="M225" s="115">
        <v>0</v>
      </c>
      <c r="N225" s="115">
        <v>0</v>
      </c>
      <c r="O225" s="115">
        <v>0</v>
      </c>
      <c r="P225" s="115">
        <v>0</v>
      </c>
      <c r="Q225" s="115">
        <f t="shared" si="22"/>
        <v>779.43</v>
      </c>
      <c r="R225" s="108"/>
      <c r="S225" s="270"/>
      <c r="U225" s="253"/>
    </row>
    <row r="226" spans="1:21" ht="12.75">
      <c r="A226" s="116">
        <f t="shared" si="21"/>
        <v>220</v>
      </c>
      <c r="B226" s="111" t="s">
        <v>666</v>
      </c>
      <c r="C226" s="121">
        <v>12226</v>
      </c>
      <c r="D226" s="122" t="s">
        <v>717</v>
      </c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9"/>
      <c r="P226" s="119"/>
      <c r="Q226" s="115">
        <f t="shared" si="22"/>
        <v>0</v>
      </c>
      <c r="R226" s="124" t="s">
        <v>716</v>
      </c>
      <c r="S226" s="270"/>
      <c r="U226" s="253"/>
    </row>
    <row r="227" spans="1:21" ht="12.75">
      <c r="A227" s="116">
        <f t="shared" si="21"/>
        <v>221</v>
      </c>
      <c r="B227" s="111" t="s">
        <v>922</v>
      </c>
      <c r="C227" s="111">
        <v>21652</v>
      </c>
      <c r="D227" s="122">
        <v>2</v>
      </c>
      <c r="E227" s="113">
        <f>ROUND(0.04*521.42,0)*3.53*2</f>
        <v>148.26</v>
      </c>
      <c r="F227" s="114">
        <f>ROUND(0.04*409.08,0)*3.53*2</f>
        <v>112.96</v>
      </c>
      <c r="G227" s="114">
        <f>ROUND(0.04*366.33,0)*3.53*2</f>
        <v>105.89999999999999</v>
      </c>
      <c r="H227" s="114">
        <f>ROUND(0.04*254.17,0)*3.53*2</f>
        <v>70.6</v>
      </c>
      <c r="I227" s="114">
        <f>ROUND(0.04*168.83,0)*3.53*2</f>
        <v>49.419999999999995</v>
      </c>
      <c r="J227" s="114">
        <f>ROUND(0.04*102.5,0)*3.53*2</f>
        <v>28.24</v>
      </c>
      <c r="K227" s="114">
        <f>ROUND(0.04*143.25,0)*3.84*2</f>
        <v>46.08</v>
      </c>
      <c r="L227" s="114">
        <f>(0.04*235.08)*3.84*2</f>
        <v>72.216576</v>
      </c>
      <c r="M227" s="240">
        <f>(0.04*314.166)*3.84*2</f>
        <v>96.5117952</v>
      </c>
      <c r="N227" s="260">
        <f>(0.04*430.833)*3.84*2</f>
        <v>132.35189760000003</v>
      </c>
      <c r="O227" s="260"/>
      <c r="P227" s="260"/>
      <c r="Q227" s="115">
        <f t="shared" si="22"/>
        <v>862.5402687999999</v>
      </c>
      <c r="R227" s="108" t="s">
        <v>1376</v>
      </c>
      <c r="S227" s="270"/>
      <c r="U227" s="253"/>
    </row>
    <row r="228" spans="1:21" ht="12.75">
      <c r="A228" s="116">
        <f t="shared" si="21"/>
        <v>222</v>
      </c>
      <c r="B228" s="111" t="s">
        <v>725</v>
      </c>
      <c r="C228" s="146"/>
      <c r="D228" s="122" t="s">
        <v>585</v>
      </c>
      <c r="E228" s="114">
        <v>8456.34</v>
      </c>
      <c r="F228" s="115">
        <v>82431.59</v>
      </c>
      <c r="G228" s="115">
        <v>21119.61</v>
      </c>
      <c r="H228" s="115">
        <v>22705.45</v>
      </c>
      <c r="I228" s="115">
        <v>18810.31</v>
      </c>
      <c r="J228" s="115">
        <v>7021.92</v>
      </c>
      <c r="K228" s="115">
        <v>7942.36</v>
      </c>
      <c r="L228" s="115">
        <v>8130.96</v>
      </c>
      <c r="M228" s="115">
        <v>8571.87</v>
      </c>
      <c r="N228" s="115">
        <v>23509.68</v>
      </c>
      <c r="O228" s="115">
        <v>21700.27</v>
      </c>
      <c r="P228" s="115">
        <v>23939.09</v>
      </c>
      <c r="Q228" s="115">
        <f t="shared" si="22"/>
        <v>254339.44999999995</v>
      </c>
      <c r="R228" s="108"/>
      <c r="S228" s="270"/>
      <c r="U228" s="253"/>
    </row>
    <row r="229" spans="1:21" ht="12.75">
      <c r="A229" s="116">
        <f t="shared" si="21"/>
        <v>223</v>
      </c>
      <c r="B229" s="111" t="s">
        <v>667</v>
      </c>
      <c r="C229" s="111">
        <v>21654</v>
      </c>
      <c r="D229" s="230" t="s">
        <v>717</v>
      </c>
      <c r="E229" s="125"/>
      <c r="F229" s="125"/>
      <c r="G229" s="125"/>
      <c r="H229" s="151">
        <v>0</v>
      </c>
      <c r="I229" s="151">
        <v>0</v>
      </c>
      <c r="J229" s="151">
        <v>0</v>
      </c>
      <c r="K229" s="151">
        <v>0</v>
      </c>
      <c r="L229" s="151">
        <v>0</v>
      </c>
      <c r="M229" s="151">
        <v>0</v>
      </c>
      <c r="N229" s="151">
        <v>0</v>
      </c>
      <c r="O229" s="151">
        <v>0</v>
      </c>
      <c r="P229" s="151">
        <v>0</v>
      </c>
      <c r="Q229" s="115">
        <f t="shared" si="22"/>
        <v>0</v>
      </c>
      <c r="S229" s="270"/>
      <c r="U229" s="253"/>
    </row>
    <row r="230" spans="1:21" ht="12.75">
      <c r="A230" s="116">
        <f t="shared" si="21"/>
        <v>224</v>
      </c>
      <c r="B230" s="111" t="s">
        <v>923</v>
      </c>
      <c r="C230" s="117">
        <v>21657</v>
      </c>
      <c r="D230" s="128">
        <v>2</v>
      </c>
      <c r="E230" s="113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5">
        <f t="shared" si="22"/>
        <v>0</v>
      </c>
      <c r="R230" s="124" t="s">
        <v>924</v>
      </c>
      <c r="S230" s="270"/>
      <c r="U230" s="253"/>
    </row>
    <row r="231" spans="1:21" ht="12.75">
      <c r="A231" s="116">
        <f t="shared" si="21"/>
        <v>225</v>
      </c>
      <c r="B231" s="111" t="s">
        <v>668</v>
      </c>
      <c r="C231" s="121">
        <v>21212</v>
      </c>
      <c r="D231" s="230" t="s">
        <v>717</v>
      </c>
      <c r="E231" s="125"/>
      <c r="F231" s="125"/>
      <c r="G231" s="125"/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15">
        <f t="shared" si="22"/>
        <v>0</v>
      </c>
      <c r="S231" s="270"/>
      <c r="U231" s="253"/>
    </row>
    <row r="232" spans="1:21" ht="12.75">
      <c r="A232" s="116">
        <f t="shared" si="21"/>
        <v>226</v>
      </c>
      <c r="B232" s="111" t="s">
        <v>669</v>
      </c>
      <c r="C232" s="147">
        <v>21213</v>
      </c>
      <c r="D232" s="230" t="s">
        <v>717</v>
      </c>
      <c r="E232" s="125"/>
      <c r="F232" s="125"/>
      <c r="G232" s="125"/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1">
        <v>0</v>
      </c>
      <c r="Q232" s="115">
        <f t="shared" si="22"/>
        <v>0</v>
      </c>
      <c r="S232" s="270"/>
      <c r="U232" s="253"/>
    </row>
    <row r="233" spans="1:21" ht="12.75">
      <c r="A233" s="116">
        <f t="shared" si="21"/>
        <v>227</v>
      </c>
      <c r="B233" s="111" t="s">
        <v>670</v>
      </c>
      <c r="C233" s="121">
        <v>21214</v>
      </c>
      <c r="D233" s="230" t="s">
        <v>717</v>
      </c>
      <c r="E233" s="125"/>
      <c r="F233" s="125"/>
      <c r="G233" s="125"/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15">
        <f t="shared" si="22"/>
        <v>0</v>
      </c>
      <c r="S233" s="270"/>
      <c r="U233" s="253"/>
    </row>
    <row r="234" spans="1:21" ht="12.75">
      <c r="A234" s="116">
        <f t="shared" si="21"/>
        <v>228</v>
      </c>
      <c r="B234" s="111" t="s">
        <v>925</v>
      </c>
      <c r="C234" s="111">
        <v>21215</v>
      </c>
      <c r="D234" s="122" t="s">
        <v>584</v>
      </c>
      <c r="E234" s="115"/>
      <c r="F234" s="115"/>
      <c r="G234" s="115"/>
      <c r="H234" s="115"/>
      <c r="I234" s="115"/>
      <c r="J234" s="115"/>
      <c r="K234" s="115"/>
      <c r="L234" s="115"/>
      <c r="M234" s="131">
        <f>8.3*2.83*3.84</f>
        <v>90.19776000000002</v>
      </c>
      <c r="N234" s="131">
        <f>8.3*2.83*3.84</f>
        <v>90.19776000000002</v>
      </c>
      <c r="O234" s="131">
        <f>8.3*2.83*3.84</f>
        <v>90.19776000000002</v>
      </c>
      <c r="P234" s="131">
        <f>8.3*2.83*3.84</f>
        <v>90.19776000000002</v>
      </c>
      <c r="Q234" s="115">
        <f t="shared" si="22"/>
        <v>360.79104000000007</v>
      </c>
      <c r="R234" s="108"/>
      <c r="S234" s="270"/>
      <c r="U234" s="253"/>
    </row>
    <row r="235" spans="1:21" ht="12.75">
      <c r="A235" s="116">
        <f t="shared" si="21"/>
        <v>229</v>
      </c>
      <c r="B235" s="111" t="s">
        <v>926</v>
      </c>
      <c r="C235" s="117">
        <v>21219</v>
      </c>
      <c r="D235" s="128">
        <v>2</v>
      </c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>
        <f t="shared" si="22"/>
        <v>0</v>
      </c>
      <c r="R235" s="124" t="s">
        <v>927</v>
      </c>
      <c r="S235" s="270"/>
      <c r="U235" s="253"/>
    </row>
    <row r="236" spans="1:21" ht="12.75">
      <c r="A236" s="116">
        <f t="shared" si="21"/>
        <v>230</v>
      </c>
      <c r="B236" s="111" t="s">
        <v>928</v>
      </c>
      <c r="C236" s="117">
        <v>21223</v>
      </c>
      <c r="D236" s="128">
        <v>2</v>
      </c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>
        <f t="shared" si="22"/>
        <v>0</v>
      </c>
      <c r="R236" s="124" t="s">
        <v>929</v>
      </c>
      <c r="S236" s="270"/>
      <c r="U236" s="253"/>
    </row>
    <row r="237" spans="1:21" ht="12.75">
      <c r="A237" s="116">
        <f t="shared" si="21"/>
        <v>231</v>
      </c>
      <c r="B237" s="111" t="s">
        <v>930</v>
      </c>
      <c r="C237" s="9">
        <v>21227</v>
      </c>
      <c r="D237" s="230" t="s">
        <v>717</v>
      </c>
      <c r="E237" s="114"/>
      <c r="F237" s="114"/>
      <c r="G237" s="114"/>
      <c r="H237" s="114"/>
      <c r="I237" s="114"/>
      <c r="J237" s="114"/>
      <c r="K237" s="114"/>
      <c r="L237" s="114"/>
      <c r="M237" s="114"/>
      <c r="N237" s="119"/>
      <c r="O237" s="119"/>
      <c r="P237" s="119"/>
      <c r="Q237" s="119">
        <f t="shared" si="22"/>
        <v>0</v>
      </c>
      <c r="R237" s="108"/>
      <c r="S237" s="270"/>
      <c r="U237" s="253"/>
    </row>
    <row r="238" spans="1:21" ht="12.75">
      <c r="A238" s="116">
        <f t="shared" si="21"/>
        <v>232</v>
      </c>
      <c r="B238" s="111" t="s">
        <v>251</v>
      </c>
      <c r="C238" s="111">
        <v>21643</v>
      </c>
      <c r="D238" s="149" t="s">
        <v>587</v>
      </c>
      <c r="E238" s="115"/>
      <c r="F238" s="115"/>
      <c r="G238" s="115"/>
      <c r="H238" s="115"/>
      <c r="I238" s="115"/>
      <c r="J238" s="115"/>
      <c r="K238" s="115"/>
      <c r="L238" s="115"/>
      <c r="M238" s="115"/>
      <c r="N238" s="119"/>
      <c r="O238" s="119"/>
      <c r="P238" s="119"/>
      <c r="Q238" s="119">
        <f t="shared" si="22"/>
        <v>0</v>
      </c>
      <c r="R238" s="108" t="s">
        <v>283</v>
      </c>
      <c r="S238" s="270"/>
      <c r="U238" s="253"/>
    </row>
    <row r="239" spans="1:21" ht="12.75">
      <c r="A239" s="116">
        <f t="shared" si="21"/>
        <v>233</v>
      </c>
      <c r="B239" s="111" t="s">
        <v>931</v>
      </c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19">
        <f t="shared" si="22"/>
        <v>0</v>
      </c>
      <c r="S239" s="270"/>
      <c r="U239" s="253"/>
    </row>
    <row r="240" spans="1:21" ht="12.75">
      <c r="A240" s="116">
        <f t="shared" si="21"/>
        <v>234</v>
      </c>
      <c r="B240" s="111" t="s">
        <v>932</v>
      </c>
      <c r="C240" s="111">
        <v>21230</v>
      </c>
      <c r="D240" s="122">
        <v>2</v>
      </c>
      <c r="E240" s="113">
        <f>ROUND(0.04*521.42,0)*3.53*2</f>
        <v>148.26</v>
      </c>
      <c r="F240" s="114">
        <f>ROUND(0.04*409.08,0)*3.53*2</f>
        <v>112.96</v>
      </c>
      <c r="G240" s="114">
        <f>ROUND(0.04*366.33,0)*3.53*2</f>
        <v>105.89999999999999</v>
      </c>
      <c r="H240" s="114">
        <f>ROUND(0.04*254.17,0)*3.53*2</f>
        <v>70.6</v>
      </c>
      <c r="I240" s="114">
        <f>ROUND(0.04*168.83,0)*3.53*2</f>
        <v>49.419999999999995</v>
      </c>
      <c r="J240" s="232">
        <f>10*2.83*3.53</f>
        <v>99.899</v>
      </c>
      <c r="K240" s="232">
        <f>10*2.83*3.84</f>
        <v>108.672</v>
      </c>
      <c r="L240" s="232">
        <f>10*2.83*3.84</f>
        <v>108.672</v>
      </c>
      <c r="M240" s="183">
        <f>5.7*2.83*3.84</f>
        <v>61.943039999999996</v>
      </c>
      <c r="N240" s="183">
        <f>5.7*2.83*3.84</f>
        <v>61.943039999999996</v>
      </c>
      <c r="O240" s="183">
        <f>5.7*2.83*3.84</f>
        <v>61.943039999999996</v>
      </c>
      <c r="P240" s="183">
        <f>5.7*2.83*3.84</f>
        <v>61.943039999999996</v>
      </c>
      <c r="Q240" s="119">
        <f t="shared" si="22"/>
        <v>1052.15516</v>
      </c>
      <c r="R240" s="108"/>
      <c r="S240" s="270"/>
      <c r="U240" s="253"/>
    </row>
    <row r="241" spans="1:21" ht="12.75">
      <c r="A241" s="116">
        <f t="shared" si="21"/>
        <v>235</v>
      </c>
      <c r="B241" s="111" t="s">
        <v>671</v>
      </c>
      <c r="C241" s="121">
        <v>21375</v>
      </c>
      <c r="D241" s="230" t="s">
        <v>717</v>
      </c>
      <c r="E241" s="150"/>
      <c r="F241" s="125"/>
      <c r="G241" s="125"/>
      <c r="H241" s="151">
        <v>0</v>
      </c>
      <c r="I241" s="151">
        <v>0</v>
      </c>
      <c r="J241" s="151"/>
      <c r="K241" s="151"/>
      <c r="L241" s="151"/>
      <c r="M241" s="151"/>
      <c r="N241" s="151"/>
      <c r="O241" s="231"/>
      <c r="P241" s="231"/>
      <c r="Q241" s="119">
        <f t="shared" si="22"/>
        <v>0</v>
      </c>
      <c r="R241" s="99" t="s">
        <v>280</v>
      </c>
      <c r="S241" s="270"/>
      <c r="U241" s="253"/>
    </row>
    <row r="242" spans="1:21" ht="12.75">
      <c r="A242" s="116">
        <f t="shared" si="21"/>
        <v>236</v>
      </c>
      <c r="B242" s="111" t="s">
        <v>673</v>
      </c>
      <c r="C242" s="121">
        <v>21386</v>
      </c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236"/>
      <c r="P242" s="236"/>
      <c r="Q242" s="119">
        <f t="shared" si="22"/>
        <v>0</v>
      </c>
      <c r="R242" s="124" t="s">
        <v>933</v>
      </c>
      <c r="S242" s="270"/>
      <c r="U242" s="253"/>
    </row>
    <row r="243" spans="1:21" ht="12.75">
      <c r="A243" s="116">
        <f t="shared" si="21"/>
        <v>237</v>
      </c>
      <c r="B243" s="111" t="s">
        <v>934</v>
      </c>
      <c r="C243" s="12">
        <v>21662</v>
      </c>
      <c r="D243" s="125"/>
      <c r="E243" s="122" t="s">
        <v>935</v>
      </c>
      <c r="F243" s="125"/>
      <c r="G243" s="125"/>
      <c r="H243" s="125"/>
      <c r="I243" s="125"/>
      <c r="J243" s="125"/>
      <c r="K243" s="125"/>
      <c r="L243" s="125">
        <v>72.22</v>
      </c>
      <c r="M243" s="125"/>
      <c r="N243" s="236"/>
      <c r="O243" s="236"/>
      <c r="P243" s="236"/>
      <c r="Q243" s="119" t="e">
        <f t="shared" si="22"/>
        <v>#VALUE!</v>
      </c>
      <c r="R243" s="99" t="s">
        <v>279</v>
      </c>
      <c r="S243" s="272"/>
      <c r="U243" s="253"/>
    </row>
    <row r="244" spans="1:21" ht="12.75">
      <c r="A244" s="116">
        <f t="shared" si="21"/>
        <v>238</v>
      </c>
      <c r="B244" s="111" t="s">
        <v>936</v>
      </c>
      <c r="C244" s="111">
        <v>21859</v>
      </c>
      <c r="D244" s="122">
        <v>0</v>
      </c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9"/>
      <c r="P244" s="119"/>
      <c r="Q244" s="115">
        <f t="shared" si="22"/>
        <v>0</v>
      </c>
      <c r="R244" s="99" t="s">
        <v>280</v>
      </c>
      <c r="S244" s="270"/>
      <c r="U244" s="253"/>
    </row>
    <row r="245" spans="1:21" ht="12.75">
      <c r="A245" s="116">
        <f t="shared" si="21"/>
        <v>239</v>
      </c>
      <c r="B245" s="111" t="s">
        <v>937</v>
      </c>
      <c r="C245" s="117">
        <v>21239</v>
      </c>
      <c r="D245" s="128">
        <v>4</v>
      </c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>
        <f t="shared" si="22"/>
        <v>0</v>
      </c>
      <c r="R245" s="124" t="s">
        <v>938</v>
      </c>
      <c r="S245" s="270"/>
      <c r="U245" s="253"/>
    </row>
    <row r="246" spans="1:21" ht="12.75">
      <c r="A246" s="116">
        <f t="shared" si="21"/>
        <v>240</v>
      </c>
      <c r="B246" s="111" t="s">
        <v>939</v>
      </c>
      <c r="C246" s="111">
        <v>21241</v>
      </c>
      <c r="D246" s="122">
        <v>6</v>
      </c>
      <c r="E246" s="113">
        <f>ROUND(0.04*521.42,0)*3.53*6</f>
        <v>444.78</v>
      </c>
      <c r="F246" s="114">
        <f>ROUND(0.04*409.08,0)*3.53*6</f>
        <v>338.88</v>
      </c>
      <c r="G246" s="114">
        <f>ROUND(0.04*366.33,0)*3.53*6</f>
        <v>317.7</v>
      </c>
      <c r="H246" s="114">
        <f>ROUND(0.04*254.17,0)*3.53*6</f>
        <v>211.79999999999998</v>
      </c>
      <c r="I246" s="114">
        <f>ROUND(0.04*168.83,0)*3.53*6</f>
        <v>148.26</v>
      </c>
      <c r="J246" s="114">
        <f>ROUND(0.04*102.5,0)*3.53*6</f>
        <v>84.72</v>
      </c>
      <c r="K246" s="114">
        <f>ROUND(0.04*143.25,0)*3.84*6</f>
        <v>138.24</v>
      </c>
      <c r="L246" s="114">
        <f>(0.04*235.08)*3.84*6</f>
        <v>216.649728</v>
      </c>
      <c r="M246" s="114">
        <f>(0.04*314.166)*3.84*6</f>
        <v>289.5353856</v>
      </c>
      <c r="N246" s="261">
        <f>(0.04*430.833)*3.84*6</f>
        <v>397.0556928000001</v>
      </c>
      <c r="O246" s="261"/>
      <c r="P246" s="261"/>
      <c r="Q246" s="115">
        <f t="shared" si="22"/>
        <v>2587.6208064</v>
      </c>
      <c r="R246" s="108"/>
      <c r="S246" s="270"/>
      <c r="U246" s="253"/>
    </row>
    <row r="247" spans="1:21" ht="12.75">
      <c r="A247" s="116">
        <f t="shared" si="21"/>
        <v>241</v>
      </c>
      <c r="B247" s="111" t="s">
        <v>940</v>
      </c>
      <c r="C247" s="111">
        <v>21242</v>
      </c>
      <c r="D247" s="122">
        <v>2</v>
      </c>
      <c r="E247" s="113">
        <f>ROUND(0.04*521.42,0)*3.53*2</f>
        <v>148.26</v>
      </c>
      <c r="F247" s="114">
        <f>ROUND(0.04*409.08,0)*3.53*2</f>
        <v>112.96</v>
      </c>
      <c r="G247" s="114">
        <f>ROUND(0.04*366.33,0)*3.53*2</f>
        <v>105.89999999999999</v>
      </c>
      <c r="H247" s="114">
        <f>ROUND(0.04*254.17,0)*3.53*2</f>
        <v>70.6</v>
      </c>
      <c r="I247" s="114">
        <f>ROUND(0.04*168.83,0)*3.53*2</f>
        <v>49.419999999999995</v>
      </c>
      <c r="J247" s="114">
        <f>ROUND(0.04*102.5,0)*3.53*2</f>
        <v>28.24</v>
      </c>
      <c r="K247" s="114">
        <f>ROUND(0.04*143.25,0)*3.84*2</f>
        <v>46.08</v>
      </c>
      <c r="L247" s="114">
        <f>(0.04*235.08)*3.84*2</f>
        <v>72.216576</v>
      </c>
      <c r="M247" s="131">
        <f>7.1*2.83*3.84</f>
        <v>77.15711999999999</v>
      </c>
      <c r="N247" s="131">
        <f>7.1*2.83*3.84</f>
        <v>77.15711999999999</v>
      </c>
      <c r="O247" s="131">
        <f>7.1*2.83*3.84</f>
        <v>77.15711999999999</v>
      </c>
      <c r="P247" s="131">
        <f>7.1*2.83*3.84</f>
        <v>77.15711999999999</v>
      </c>
      <c r="Q247" s="115">
        <f t="shared" si="22"/>
        <v>942.3050559999998</v>
      </c>
      <c r="R247" s="108"/>
      <c r="S247" s="271"/>
      <c r="U247" s="253"/>
    </row>
    <row r="248" spans="1:21" ht="12.75">
      <c r="A248" s="116">
        <f t="shared" si="21"/>
        <v>242</v>
      </c>
      <c r="B248" s="111" t="s">
        <v>941</v>
      </c>
      <c r="C248" s="111">
        <v>21232</v>
      </c>
      <c r="D248" s="122" t="s">
        <v>585</v>
      </c>
      <c r="E248" s="115">
        <v>172.06</v>
      </c>
      <c r="F248" s="115">
        <v>158.54</v>
      </c>
      <c r="G248" s="115">
        <v>56.900000000000006</v>
      </c>
      <c r="H248" s="115">
        <v>96.05</v>
      </c>
      <c r="I248" s="115">
        <v>87.54</v>
      </c>
      <c r="J248" s="115">
        <v>44.16</v>
      </c>
      <c r="K248" s="115">
        <v>47.15</v>
      </c>
      <c r="L248" s="115">
        <v>51.75</v>
      </c>
      <c r="M248" s="115">
        <v>40.94</v>
      </c>
      <c r="N248" s="115">
        <v>203.78</v>
      </c>
      <c r="O248" s="115">
        <v>201.94</v>
      </c>
      <c r="P248" s="115">
        <v>255.76</v>
      </c>
      <c r="Q248" s="115">
        <f t="shared" si="22"/>
        <v>1416.57</v>
      </c>
      <c r="R248" s="108"/>
      <c r="S248" s="270"/>
      <c r="U248" s="253"/>
    </row>
    <row r="249" spans="1:21" ht="12.75">
      <c r="A249" s="116">
        <f t="shared" si="21"/>
        <v>243</v>
      </c>
      <c r="B249" s="111" t="s">
        <v>942</v>
      </c>
      <c r="C249" s="111">
        <v>21233</v>
      </c>
      <c r="D249" s="122" t="s">
        <v>585</v>
      </c>
      <c r="E249" s="115">
        <v>314.89</v>
      </c>
      <c r="F249" s="115">
        <v>305.65</v>
      </c>
      <c r="G249" s="115">
        <v>278.08000000000004</v>
      </c>
      <c r="H249" s="115">
        <v>163.65</v>
      </c>
      <c r="I249" s="115">
        <v>113.9</v>
      </c>
      <c r="J249" s="115">
        <v>85.45</v>
      </c>
      <c r="K249" s="115">
        <v>109.71</v>
      </c>
      <c r="L249" s="115">
        <v>116.84</v>
      </c>
      <c r="M249" s="115">
        <v>115.23</v>
      </c>
      <c r="N249" s="115">
        <v>258.06</v>
      </c>
      <c r="O249" s="115">
        <v>216.2</v>
      </c>
      <c r="P249" s="115">
        <v>409.4</v>
      </c>
      <c r="Q249" s="115">
        <f t="shared" si="22"/>
        <v>2487.06</v>
      </c>
      <c r="R249" s="108"/>
      <c r="S249" s="270"/>
      <c r="U249" s="253"/>
    </row>
    <row r="250" spans="1:21" ht="12.75">
      <c r="A250" s="116">
        <f t="shared" si="21"/>
        <v>244</v>
      </c>
      <c r="B250" s="111" t="s">
        <v>943</v>
      </c>
      <c r="C250" s="117">
        <v>21234</v>
      </c>
      <c r="D250" s="128">
        <v>0</v>
      </c>
      <c r="E250" s="113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>
        <f t="shared" si="22"/>
        <v>0</v>
      </c>
      <c r="R250" s="108"/>
      <c r="S250" s="270"/>
      <c r="U250" s="253"/>
    </row>
    <row r="251" spans="1:21" ht="12.75">
      <c r="A251" s="116">
        <f t="shared" si="21"/>
        <v>245</v>
      </c>
      <c r="B251" s="111" t="s">
        <v>944</v>
      </c>
      <c r="C251" s="111">
        <v>21235</v>
      </c>
      <c r="D251" s="122" t="s">
        <v>585</v>
      </c>
      <c r="E251" s="115">
        <v>856.95</v>
      </c>
      <c r="F251" s="115">
        <v>844.16</v>
      </c>
      <c r="G251" s="115">
        <v>724.29</v>
      </c>
      <c r="H251" s="115">
        <v>668.17</v>
      </c>
      <c r="I251" s="115">
        <v>390.87</v>
      </c>
      <c r="J251" s="115">
        <v>204.36</v>
      </c>
      <c r="K251" s="115">
        <v>235.98</v>
      </c>
      <c r="L251" s="115">
        <v>409.63</v>
      </c>
      <c r="M251" s="115">
        <v>412.62</v>
      </c>
      <c r="N251" s="115">
        <v>300.15</v>
      </c>
      <c r="O251" s="115">
        <v>951.51</v>
      </c>
      <c r="P251" s="115">
        <v>877.45</v>
      </c>
      <c r="Q251" s="115">
        <f t="shared" si="22"/>
        <v>6876.139999999999</v>
      </c>
      <c r="R251" s="108"/>
      <c r="S251" s="270"/>
      <c r="U251" s="253"/>
    </row>
    <row r="252" spans="1:21" ht="12.75">
      <c r="A252" s="116">
        <f t="shared" si="21"/>
        <v>246</v>
      </c>
      <c r="B252" s="111" t="s">
        <v>945</v>
      </c>
      <c r="C252" s="111">
        <v>21236</v>
      </c>
      <c r="D252" s="122">
        <v>1</v>
      </c>
      <c r="E252" s="113">
        <f>ROUND(0.04*521.42,0)*3.53</f>
        <v>74.13</v>
      </c>
      <c r="F252" s="114">
        <f>ROUND(0.04*409.08,0)*3.53</f>
        <v>56.48</v>
      </c>
      <c r="G252" s="114">
        <f>ROUND(0.04*366.33,0)*3.53</f>
        <v>52.949999999999996</v>
      </c>
      <c r="H252" s="114">
        <f>ROUND(0.04*254.17,0)*3.53</f>
        <v>35.3</v>
      </c>
      <c r="I252" s="114">
        <f>ROUND(0.04*168.83,0)*3.53</f>
        <v>24.709999999999997</v>
      </c>
      <c r="J252" s="114">
        <f>ROUND(0.04*102.5,0)*3.53</f>
        <v>14.12</v>
      </c>
      <c r="K252" s="114">
        <f>ROUND(0.04*143.25,0)*3.84</f>
        <v>23.04</v>
      </c>
      <c r="L252" s="114">
        <f>(0.04*235.08)*3.84</f>
        <v>36.108288</v>
      </c>
      <c r="M252" s="114">
        <f>(0.04*314.166)*3.84</f>
        <v>48.2558976</v>
      </c>
      <c r="N252" s="261">
        <f>(0.04*430.833)*3.84</f>
        <v>66.17594880000001</v>
      </c>
      <c r="O252" s="261"/>
      <c r="P252" s="261"/>
      <c r="Q252" s="115">
        <f t="shared" si="22"/>
        <v>431.27013439999996</v>
      </c>
      <c r="R252" s="108"/>
      <c r="S252" s="270"/>
      <c r="U252" s="253"/>
    </row>
    <row r="253" spans="1:21" ht="12.75">
      <c r="A253" s="116">
        <f t="shared" si="21"/>
        <v>247</v>
      </c>
      <c r="B253" s="111" t="s">
        <v>946</v>
      </c>
      <c r="C253" s="111">
        <v>21249</v>
      </c>
      <c r="D253" s="122" t="s">
        <v>585</v>
      </c>
      <c r="E253" s="115">
        <v>118.71</v>
      </c>
      <c r="F253" s="115">
        <v>107.33</v>
      </c>
      <c r="G253" s="115">
        <v>58.31</v>
      </c>
      <c r="H253" s="115">
        <v>95.32</v>
      </c>
      <c r="I253" s="115">
        <v>114.53</v>
      </c>
      <c r="J253" s="115">
        <v>39.88</v>
      </c>
      <c r="K253" s="115">
        <v>46.23</v>
      </c>
      <c r="L253" s="115">
        <v>56.35</v>
      </c>
      <c r="M253" s="115">
        <v>58.65</v>
      </c>
      <c r="N253" s="115">
        <v>167.44</v>
      </c>
      <c r="O253" s="115">
        <v>213.21</v>
      </c>
      <c r="P253" s="115">
        <v>73.14</v>
      </c>
      <c r="Q253" s="115">
        <f t="shared" si="22"/>
        <v>1149.1000000000001</v>
      </c>
      <c r="R253" s="108"/>
      <c r="S253" s="270"/>
      <c r="U253" s="253"/>
    </row>
    <row r="254" spans="1:21" ht="12.75">
      <c r="A254" s="116">
        <f t="shared" si="21"/>
        <v>248</v>
      </c>
      <c r="B254" s="111" t="s">
        <v>947</v>
      </c>
      <c r="C254" s="117">
        <v>12059</v>
      </c>
      <c r="D254" s="128">
        <v>0</v>
      </c>
      <c r="E254" s="113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>
        <f t="shared" si="22"/>
        <v>0</v>
      </c>
      <c r="R254" s="108"/>
      <c r="S254" s="270"/>
      <c r="U254" s="253"/>
    </row>
    <row r="255" spans="1:21" ht="12.75">
      <c r="A255" s="116">
        <f t="shared" si="21"/>
        <v>249</v>
      </c>
      <c r="B255" s="111" t="s">
        <v>948</v>
      </c>
      <c r="C255" s="117">
        <v>21381</v>
      </c>
      <c r="D255" s="128">
        <v>0</v>
      </c>
      <c r="E255" s="113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>
        <f t="shared" si="22"/>
        <v>0</v>
      </c>
      <c r="R255" s="99" t="s">
        <v>280</v>
      </c>
      <c r="S255" s="270"/>
      <c r="U255" s="253"/>
    </row>
    <row r="256" spans="1:21" ht="12.75">
      <c r="A256" s="116">
        <f t="shared" si="21"/>
        <v>250</v>
      </c>
      <c r="B256" s="111" t="s">
        <v>949</v>
      </c>
      <c r="C256" s="111">
        <v>21392</v>
      </c>
      <c r="D256" s="122">
        <v>2</v>
      </c>
      <c r="E256" s="113">
        <f>ROUND(0.04*521.42,0)*3.53*2</f>
        <v>148.26</v>
      </c>
      <c r="F256" s="114">
        <f>ROUND(0.04*409.08,0)*3.53*2</f>
        <v>112.96</v>
      </c>
      <c r="G256" s="114">
        <f>ROUND(0.04*366.33,0)*3.53*2</f>
        <v>105.89999999999999</v>
      </c>
      <c r="H256" s="114">
        <f>ROUND(0.04*254.17,0)*3.53*2</f>
        <v>70.6</v>
      </c>
      <c r="I256" s="114">
        <f>ROUND(0.04*168.83,0)*3.53*2</f>
        <v>49.419999999999995</v>
      </c>
      <c r="J256" s="114">
        <f>ROUND(0.04*102.5,0)*3.53*2</f>
        <v>28.24</v>
      </c>
      <c r="K256" s="114">
        <f>ROUND(0.04*143.25,0)*3.84*2</f>
        <v>46.08</v>
      </c>
      <c r="L256" s="114">
        <f>(0.04*235.08)*3.84*2</f>
        <v>72.216576</v>
      </c>
      <c r="M256" s="240">
        <f>(0.04*314.166)*3.84*2</f>
        <v>96.5117952</v>
      </c>
      <c r="N256" s="131">
        <f>13.7*2.83*3.84</f>
        <v>148.88064</v>
      </c>
      <c r="O256" s="131">
        <f>13.7*2.83*3.84</f>
        <v>148.88064</v>
      </c>
      <c r="P256" s="131">
        <f>13.7*2.83*3.84</f>
        <v>148.88064</v>
      </c>
      <c r="Q256" s="115">
        <f t="shared" si="22"/>
        <v>1176.8302912</v>
      </c>
      <c r="R256" s="108"/>
      <c r="S256" s="270"/>
      <c r="U256" s="253"/>
    </row>
    <row r="257" spans="1:21" ht="12.75">
      <c r="A257" s="116">
        <f t="shared" si="21"/>
        <v>251</v>
      </c>
      <c r="B257" s="111" t="s">
        <v>950</v>
      </c>
      <c r="C257" s="111">
        <v>21391</v>
      </c>
      <c r="D257" s="122">
        <v>2</v>
      </c>
      <c r="E257" s="113">
        <f>ROUND(0.04*521.42,0)*3.53*2</f>
        <v>148.26</v>
      </c>
      <c r="F257" s="114">
        <f>ROUND(0.04*409.08,0)*3.53*2</f>
        <v>112.96</v>
      </c>
      <c r="G257" s="114">
        <f>ROUND(0.04*366.33,0)*3.53*2</f>
        <v>105.89999999999999</v>
      </c>
      <c r="H257" s="114">
        <f>ROUND(0.04*254.17,0)*3.53*2</f>
        <v>70.6</v>
      </c>
      <c r="I257" s="114">
        <f>ROUND(0.04*168.83,0)*3.53*2</f>
        <v>49.419999999999995</v>
      </c>
      <c r="J257" s="114">
        <f>ROUND(0.04*102.5,0)*3.53*2</f>
        <v>28.24</v>
      </c>
      <c r="K257" s="114">
        <f>ROUND(0.04*143.25,0)*3.84*2</f>
        <v>46.08</v>
      </c>
      <c r="L257" s="114">
        <f>(0.04*235.08)*3.84*2</f>
        <v>72.216576</v>
      </c>
      <c r="M257" s="240">
        <f>(0.04*314.166)*3.84*2</f>
        <v>96.5117952</v>
      </c>
      <c r="N257" s="131">
        <f>22.2*2.83*3.84</f>
        <v>241.25184</v>
      </c>
      <c r="O257" s="131">
        <f>22.2*2.83*3.84</f>
        <v>241.25184</v>
      </c>
      <c r="P257" s="131">
        <f>22.2*2.83*3.84</f>
        <v>241.25184</v>
      </c>
      <c r="Q257" s="115">
        <f t="shared" si="22"/>
        <v>1453.9438911999998</v>
      </c>
      <c r="R257" s="108"/>
      <c r="S257" s="270"/>
      <c r="U257" s="253"/>
    </row>
    <row r="258" spans="1:21" ht="12.75">
      <c r="A258" s="116">
        <f t="shared" si="21"/>
        <v>252</v>
      </c>
      <c r="B258" s="111" t="s">
        <v>951</v>
      </c>
      <c r="C258" s="111">
        <v>21250</v>
      </c>
      <c r="D258" s="122" t="s">
        <v>585</v>
      </c>
      <c r="E258" s="115">
        <v>92.02</v>
      </c>
      <c r="F258" s="115">
        <v>87.74</v>
      </c>
      <c r="G258" s="115">
        <v>2.14</v>
      </c>
      <c r="H258" s="115">
        <v>51.36</v>
      </c>
      <c r="I258" s="115">
        <v>47.08</v>
      </c>
      <c r="J258" s="115">
        <v>34.24</v>
      </c>
      <c r="K258" s="115">
        <v>27.6</v>
      </c>
      <c r="L258" s="115">
        <v>20.7</v>
      </c>
      <c r="M258" s="115">
        <v>18.4</v>
      </c>
      <c r="N258" s="115">
        <v>135.7</v>
      </c>
      <c r="O258" s="115">
        <v>253.46</v>
      </c>
      <c r="P258" s="115">
        <v>331.43</v>
      </c>
      <c r="Q258" s="115">
        <f t="shared" si="22"/>
        <v>1101.8700000000001</v>
      </c>
      <c r="R258" s="108"/>
      <c r="S258" s="270"/>
      <c r="U258" s="253"/>
    </row>
    <row r="259" spans="1:21" ht="12.75">
      <c r="A259" s="116">
        <f t="shared" si="21"/>
        <v>253</v>
      </c>
      <c r="B259" s="111" t="s">
        <v>952</v>
      </c>
      <c r="C259" s="111">
        <v>21251</v>
      </c>
      <c r="D259" s="122" t="s">
        <v>585</v>
      </c>
      <c r="E259" s="115">
        <v>611.35</v>
      </c>
      <c r="F259" s="115">
        <v>595.69</v>
      </c>
      <c r="G259" s="115">
        <v>562.4300000000001</v>
      </c>
      <c r="H259" s="115">
        <v>512</v>
      </c>
      <c r="I259" s="115">
        <v>477.81</v>
      </c>
      <c r="J259" s="115">
        <v>378.21</v>
      </c>
      <c r="K259" s="115">
        <v>404.34</v>
      </c>
      <c r="L259" s="115">
        <v>412.62</v>
      </c>
      <c r="M259" s="115">
        <v>414.23</v>
      </c>
      <c r="N259" s="115">
        <v>830.76</v>
      </c>
      <c r="O259" s="115">
        <v>692.99</v>
      </c>
      <c r="P259" s="115">
        <v>733.47</v>
      </c>
      <c r="Q259" s="115">
        <f t="shared" si="22"/>
        <v>6625.900000000001</v>
      </c>
      <c r="R259" s="108"/>
      <c r="S259" s="270"/>
      <c r="U259" s="253"/>
    </row>
    <row r="260" spans="1:21" ht="12.75">
      <c r="A260" s="116">
        <f t="shared" si="21"/>
        <v>254</v>
      </c>
      <c r="B260" s="111" t="s">
        <v>953</v>
      </c>
      <c r="C260" s="111">
        <v>21252</v>
      </c>
      <c r="D260" s="122" t="s">
        <v>585</v>
      </c>
      <c r="E260" s="115">
        <v>2370.28</v>
      </c>
      <c r="F260" s="115">
        <v>670.87</v>
      </c>
      <c r="G260" s="115">
        <v>1709.5099999999998</v>
      </c>
      <c r="H260" s="115">
        <v>266.4</v>
      </c>
      <c r="I260" s="115">
        <v>452.76</v>
      </c>
      <c r="J260" s="115">
        <v>349.71</v>
      </c>
      <c r="K260" s="115">
        <v>491.97</v>
      </c>
      <c r="L260" s="115">
        <v>494.27</v>
      </c>
      <c r="M260" s="115">
        <v>506.69</v>
      </c>
      <c r="N260" s="115">
        <v>694.37</v>
      </c>
      <c r="O260" s="115">
        <v>514.51</v>
      </c>
      <c r="P260" s="115">
        <v>633.65</v>
      </c>
      <c r="Q260" s="115">
        <f t="shared" si="22"/>
        <v>9154.99</v>
      </c>
      <c r="R260" s="108"/>
      <c r="S260" s="270"/>
      <c r="U260" s="253"/>
    </row>
    <row r="261" spans="1:21" ht="12.75">
      <c r="A261" s="116">
        <f t="shared" si="21"/>
        <v>255</v>
      </c>
      <c r="B261" s="111" t="s">
        <v>954</v>
      </c>
      <c r="C261" s="111">
        <v>21253</v>
      </c>
      <c r="D261" s="122" t="s">
        <v>585</v>
      </c>
      <c r="E261" s="115">
        <v>196.18</v>
      </c>
      <c r="F261" s="115">
        <v>173.42</v>
      </c>
      <c r="G261" s="115">
        <v>213.4</v>
      </c>
      <c r="H261" s="115">
        <v>101.01</v>
      </c>
      <c r="I261" s="115">
        <v>122.31</v>
      </c>
      <c r="J261" s="115">
        <v>150.03</v>
      </c>
      <c r="K261" s="115">
        <v>213.21</v>
      </c>
      <c r="L261" s="115">
        <v>142.83</v>
      </c>
      <c r="M261" s="115">
        <v>146.05</v>
      </c>
      <c r="N261" s="115">
        <v>260.36</v>
      </c>
      <c r="O261" s="115">
        <v>232.53</v>
      </c>
      <c r="P261" s="115">
        <v>372.83</v>
      </c>
      <c r="Q261" s="115">
        <f t="shared" si="22"/>
        <v>2324.16</v>
      </c>
      <c r="R261" s="108"/>
      <c r="S261" s="270"/>
      <c r="U261" s="253"/>
    </row>
    <row r="262" spans="1:21" ht="12.75">
      <c r="A262" s="116">
        <f t="shared" si="21"/>
        <v>256</v>
      </c>
      <c r="B262" s="111" t="s">
        <v>955</v>
      </c>
      <c r="C262" s="111">
        <v>21000</v>
      </c>
      <c r="D262" s="122" t="s">
        <v>586</v>
      </c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>
        <f t="shared" si="22"/>
        <v>0</v>
      </c>
      <c r="R262" s="108"/>
      <c r="S262" s="270"/>
      <c r="U262" s="253"/>
    </row>
    <row r="263" spans="1:21" ht="12.75">
      <c r="A263" s="116">
        <f t="shared" si="21"/>
        <v>257</v>
      </c>
      <c r="B263" s="111" t="s">
        <v>956</v>
      </c>
      <c r="C263" s="111">
        <v>21255</v>
      </c>
      <c r="D263" s="122" t="s">
        <v>585</v>
      </c>
      <c r="E263" s="115">
        <v>487.58</v>
      </c>
      <c r="F263" s="115">
        <v>474.79</v>
      </c>
      <c r="G263" s="115">
        <v>695.14</v>
      </c>
      <c r="H263" s="115">
        <v>575.02</v>
      </c>
      <c r="I263" s="115">
        <v>722.13</v>
      </c>
      <c r="J263" s="115">
        <v>646.8</v>
      </c>
      <c r="K263" s="115">
        <v>611.11</v>
      </c>
      <c r="L263" s="115">
        <v>590.18</v>
      </c>
      <c r="M263" s="115">
        <v>602.6</v>
      </c>
      <c r="N263" s="115">
        <v>623.76</v>
      </c>
      <c r="O263" s="115">
        <v>698.74</v>
      </c>
      <c r="P263" s="115">
        <v>692.07</v>
      </c>
      <c r="Q263" s="115">
        <f t="shared" si="22"/>
        <v>7419.92</v>
      </c>
      <c r="R263" s="108"/>
      <c r="S263" s="270"/>
      <c r="U263" s="253"/>
    </row>
    <row r="264" spans="1:21" ht="12.75">
      <c r="A264" s="116">
        <f t="shared" si="21"/>
        <v>258</v>
      </c>
      <c r="B264" s="111" t="s">
        <v>957</v>
      </c>
      <c r="C264" s="111">
        <v>21256</v>
      </c>
      <c r="D264" s="122" t="s">
        <v>585</v>
      </c>
      <c r="E264" s="115">
        <v>631.87</v>
      </c>
      <c r="F264" s="115">
        <v>634.01</v>
      </c>
      <c r="G264" s="115">
        <v>0</v>
      </c>
      <c r="H264" s="115">
        <v>211.11</v>
      </c>
      <c r="I264" s="115">
        <v>676.66</v>
      </c>
      <c r="J264" s="115">
        <v>114.53</v>
      </c>
      <c r="K264" s="115">
        <v>157.32</v>
      </c>
      <c r="L264" s="115">
        <v>135.47</v>
      </c>
      <c r="M264" s="115">
        <v>145.59</v>
      </c>
      <c r="N264" s="115">
        <v>756.7</v>
      </c>
      <c r="O264" s="115">
        <v>882.05</v>
      </c>
      <c r="P264" s="115">
        <v>695.29</v>
      </c>
      <c r="Q264" s="115">
        <f t="shared" si="22"/>
        <v>5040.6</v>
      </c>
      <c r="R264" s="108"/>
      <c r="S264" s="270"/>
      <c r="U264" s="253"/>
    </row>
    <row r="265" spans="1:21" ht="12.75">
      <c r="A265" s="116">
        <f aca="true" t="shared" si="23" ref="A265:A328">A264+1</f>
        <v>259</v>
      </c>
      <c r="B265" s="111" t="s">
        <v>958</v>
      </c>
      <c r="C265" s="111">
        <v>31001</v>
      </c>
      <c r="D265" s="122" t="s">
        <v>586</v>
      </c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>
        <f t="shared" si="22"/>
        <v>0</v>
      </c>
      <c r="R265" s="108"/>
      <c r="S265" s="270"/>
      <c r="U265" s="253"/>
    </row>
    <row r="266" spans="1:21" ht="12.75">
      <c r="A266" s="116">
        <f t="shared" si="23"/>
        <v>260</v>
      </c>
      <c r="B266" s="111" t="s">
        <v>959</v>
      </c>
      <c r="C266" s="111">
        <v>21257</v>
      </c>
      <c r="D266" s="122" t="s">
        <v>713</v>
      </c>
      <c r="E266" s="115">
        <v>567.24</v>
      </c>
      <c r="F266" s="115">
        <v>548.76</v>
      </c>
      <c r="G266" s="115">
        <v>408.16999999999996</v>
      </c>
      <c r="H266" s="115">
        <v>268.11</v>
      </c>
      <c r="I266" s="115">
        <v>323.6</v>
      </c>
      <c r="J266" s="115">
        <v>252.55</v>
      </c>
      <c r="K266" s="115">
        <v>152.26</v>
      </c>
      <c r="L266" s="115">
        <v>216.43</v>
      </c>
      <c r="M266" s="115">
        <v>221.95</v>
      </c>
      <c r="N266" s="115">
        <v>689.31</v>
      </c>
      <c r="O266" s="115">
        <v>491.51</v>
      </c>
      <c r="P266" s="115">
        <v>566.49</v>
      </c>
      <c r="Q266" s="115">
        <f t="shared" si="22"/>
        <v>4706.38</v>
      </c>
      <c r="R266" s="108"/>
      <c r="S266" s="270"/>
      <c r="U266" s="253"/>
    </row>
    <row r="267" spans="1:21" ht="12.75">
      <c r="A267" s="116">
        <f t="shared" si="23"/>
        <v>261</v>
      </c>
      <c r="B267" s="111" t="s">
        <v>960</v>
      </c>
      <c r="C267" s="111">
        <v>21113</v>
      </c>
      <c r="D267" s="122">
        <v>0</v>
      </c>
      <c r="E267" s="114"/>
      <c r="F267" s="114"/>
      <c r="G267" s="114"/>
      <c r="H267" s="114"/>
      <c r="I267" s="114"/>
      <c r="J267" s="248">
        <f>118.5*2.83*3.53</f>
        <v>1183.80315</v>
      </c>
      <c r="K267" s="248">
        <f>118.5*2.83*3.84</f>
        <v>1287.7632</v>
      </c>
      <c r="L267" s="248">
        <f>118.5*2.83*3.84</f>
        <v>1287.7632</v>
      </c>
      <c r="M267" s="131">
        <f>114.8*2.83*3.84</f>
        <v>1247.55456</v>
      </c>
      <c r="N267" s="131">
        <f>114.8*2.83*3.84</f>
        <v>1247.55456</v>
      </c>
      <c r="O267" s="131">
        <f>114.8*2.83*3.84</f>
        <v>1247.55456</v>
      </c>
      <c r="P267" s="131">
        <f>114.8*3.22*3.84</f>
        <v>1419.47904</v>
      </c>
      <c r="Q267" s="115">
        <f t="shared" si="22"/>
        <v>8921.472270000002</v>
      </c>
      <c r="R267" s="108"/>
      <c r="S267" s="271"/>
      <c r="U267" s="253"/>
    </row>
    <row r="268" spans="1:21" ht="12.75">
      <c r="A268" s="116">
        <f t="shared" si="23"/>
        <v>262</v>
      </c>
      <c r="B268" s="111" t="s">
        <v>961</v>
      </c>
      <c r="C268" s="111">
        <v>21116</v>
      </c>
      <c r="D268" s="122" t="s">
        <v>585</v>
      </c>
      <c r="E268" s="115">
        <v>599.24</v>
      </c>
      <c r="F268" s="115">
        <v>567.97</v>
      </c>
      <c r="G268" s="114">
        <v>486.31999999999994</v>
      </c>
      <c r="H268" s="115">
        <v>433.7</v>
      </c>
      <c r="I268" s="115">
        <v>305.07</v>
      </c>
      <c r="J268" s="115">
        <v>289.41</v>
      </c>
      <c r="K268" s="115">
        <v>288.19</v>
      </c>
      <c r="L268" s="115">
        <v>305.9</v>
      </c>
      <c r="M268" s="115">
        <v>321.31</v>
      </c>
      <c r="N268" s="115">
        <v>413.54</v>
      </c>
      <c r="O268" s="115">
        <v>516.58</v>
      </c>
      <c r="P268" s="115">
        <v>549.47</v>
      </c>
      <c r="Q268" s="115">
        <f t="shared" si="22"/>
        <v>5076.700000000001</v>
      </c>
      <c r="R268" s="108"/>
      <c r="S268" s="270"/>
      <c r="U268" s="253"/>
    </row>
    <row r="269" spans="1:21" ht="12.75">
      <c r="A269" s="116">
        <f t="shared" si="23"/>
        <v>263</v>
      </c>
      <c r="B269" s="111" t="s">
        <v>962</v>
      </c>
      <c r="C269" s="111">
        <v>21114</v>
      </c>
      <c r="D269" s="122" t="s">
        <v>585</v>
      </c>
      <c r="E269" s="115">
        <v>446.49</v>
      </c>
      <c r="F269" s="115">
        <v>430.2</v>
      </c>
      <c r="G269" s="115">
        <v>453.06</v>
      </c>
      <c r="H269" s="115">
        <v>352.88</v>
      </c>
      <c r="I269" s="115">
        <v>271.81</v>
      </c>
      <c r="J269" s="115">
        <v>214.23</v>
      </c>
      <c r="K269" s="115">
        <v>253.23</v>
      </c>
      <c r="L269" s="115">
        <v>306.82</v>
      </c>
      <c r="M269" s="115">
        <v>319.24</v>
      </c>
      <c r="N269" s="115">
        <v>541.42</v>
      </c>
      <c r="O269" s="115">
        <v>574.31</v>
      </c>
      <c r="P269" s="115">
        <v>630.66</v>
      </c>
      <c r="Q269" s="115">
        <f t="shared" si="22"/>
        <v>4794.35</v>
      </c>
      <c r="R269" s="108"/>
      <c r="S269" s="270"/>
      <c r="U269" s="253"/>
    </row>
    <row r="270" spans="1:21" ht="12.75">
      <c r="A270" s="116">
        <f t="shared" si="23"/>
        <v>264</v>
      </c>
      <c r="B270" s="111" t="s">
        <v>963</v>
      </c>
      <c r="C270" s="111">
        <v>21115</v>
      </c>
      <c r="D270" s="122" t="s">
        <v>585</v>
      </c>
      <c r="E270" s="115">
        <v>331.96</v>
      </c>
      <c r="F270" s="115">
        <v>415.17</v>
      </c>
      <c r="G270" s="115">
        <v>346.26</v>
      </c>
      <c r="H270" s="115">
        <v>364.11</v>
      </c>
      <c r="I270" s="115">
        <v>394.75</v>
      </c>
      <c r="J270" s="115">
        <v>359.88</v>
      </c>
      <c r="K270" s="115">
        <v>275.08</v>
      </c>
      <c r="L270" s="115">
        <v>272.78</v>
      </c>
      <c r="M270" s="115">
        <v>286.81</v>
      </c>
      <c r="N270" s="115">
        <v>618.7</v>
      </c>
      <c r="O270" s="115">
        <v>397.44</v>
      </c>
      <c r="P270" s="115">
        <v>451.26</v>
      </c>
      <c r="Q270" s="115">
        <f aca="true" t="shared" si="24" ref="Q270:Q333">E270+F270+G270+H270+I270+J270+K270+L270+M270+N270+O270+P270</f>
        <v>4514.2</v>
      </c>
      <c r="R270" s="108"/>
      <c r="S270" s="270"/>
      <c r="U270" s="253"/>
    </row>
    <row r="271" spans="1:21" ht="12.75">
      <c r="A271" s="116">
        <f t="shared" si="23"/>
        <v>265</v>
      </c>
      <c r="B271" s="111" t="s">
        <v>964</v>
      </c>
      <c r="C271" s="111">
        <v>21258</v>
      </c>
      <c r="D271" s="122" t="s">
        <v>585</v>
      </c>
      <c r="E271" s="115">
        <v>364.06</v>
      </c>
      <c r="F271" s="115">
        <v>347.67</v>
      </c>
      <c r="G271" s="115">
        <v>275.40999999999997</v>
      </c>
      <c r="H271" s="115">
        <v>296.71</v>
      </c>
      <c r="I271" s="115">
        <v>268.26</v>
      </c>
      <c r="J271" s="115">
        <v>206.4</v>
      </c>
      <c r="K271" s="115">
        <v>251.85</v>
      </c>
      <c r="L271" s="115">
        <v>165.37</v>
      </c>
      <c r="M271" s="115">
        <v>175.49</v>
      </c>
      <c r="N271" s="115">
        <v>440.22</v>
      </c>
      <c r="O271" s="115">
        <v>411.7</v>
      </c>
      <c r="P271" s="115">
        <v>641.24</v>
      </c>
      <c r="Q271" s="115">
        <f t="shared" si="24"/>
        <v>3844.38</v>
      </c>
      <c r="R271" s="108"/>
      <c r="S271" s="270"/>
      <c r="U271" s="253"/>
    </row>
    <row r="272" spans="1:21" ht="12.75">
      <c r="A272" s="116">
        <f t="shared" si="23"/>
        <v>266</v>
      </c>
      <c r="B272" s="111" t="s">
        <v>965</v>
      </c>
      <c r="C272" s="111">
        <v>21259</v>
      </c>
      <c r="D272" s="122" t="s">
        <v>585</v>
      </c>
      <c r="E272" s="115">
        <v>563.06</v>
      </c>
      <c r="F272" s="115">
        <v>545.99</v>
      </c>
      <c r="G272" s="115">
        <v>551.1</v>
      </c>
      <c r="H272" s="115">
        <v>417.46</v>
      </c>
      <c r="I272" s="115">
        <v>382.69</v>
      </c>
      <c r="J272" s="115">
        <v>329.34</v>
      </c>
      <c r="K272" s="115">
        <v>403.42</v>
      </c>
      <c r="L272" s="115">
        <v>377.2</v>
      </c>
      <c r="M272" s="115">
        <v>394.22</v>
      </c>
      <c r="N272" s="115">
        <v>914.94</v>
      </c>
      <c r="O272" s="115">
        <v>726.11</v>
      </c>
      <c r="P272" s="115">
        <v>954.27</v>
      </c>
      <c r="Q272" s="115">
        <f t="shared" si="24"/>
        <v>6559.799999999999</v>
      </c>
      <c r="R272" s="108"/>
      <c r="S272" s="270"/>
      <c r="U272" s="253"/>
    </row>
    <row r="273" spans="1:21" ht="12.75">
      <c r="A273" s="116">
        <f t="shared" si="23"/>
        <v>267</v>
      </c>
      <c r="B273" s="111" t="s">
        <v>966</v>
      </c>
      <c r="C273" s="111">
        <v>21820</v>
      </c>
      <c r="D273" s="129" t="s">
        <v>588</v>
      </c>
      <c r="E273" s="115">
        <v>16151.5</v>
      </c>
      <c r="F273" s="115">
        <v>11676.28</v>
      </c>
      <c r="G273" s="115">
        <v>14338.55</v>
      </c>
      <c r="H273" s="115">
        <v>12898.64</v>
      </c>
      <c r="I273" s="115">
        <v>16481.82</v>
      </c>
      <c r="J273" s="115">
        <v>11551.26</v>
      </c>
      <c r="K273" s="115">
        <v>19852.68</v>
      </c>
      <c r="L273" s="115">
        <v>15866.78</v>
      </c>
      <c r="M273" s="115">
        <v>14796.13</v>
      </c>
      <c r="N273" s="115">
        <v>22294.13</v>
      </c>
      <c r="O273" s="115">
        <v>18203.35</v>
      </c>
      <c r="P273" s="115">
        <v>20935.75</v>
      </c>
      <c r="Q273" s="115">
        <f t="shared" si="24"/>
        <v>195046.87000000002</v>
      </c>
      <c r="R273" s="108"/>
      <c r="S273" s="270"/>
      <c r="U273" s="253"/>
    </row>
    <row r="274" spans="1:21" ht="12.75">
      <c r="A274" s="116">
        <f t="shared" si="23"/>
        <v>268</v>
      </c>
      <c r="B274" s="111" t="s">
        <v>967</v>
      </c>
      <c r="C274" s="111">
        <v>21260</v>
      </c>
      <c r="D274" s="122" t="s">
        <v>585</v>
      </c>
      <c r="E274" s="115">
        <v>1519.06</v>
      </c>
      <c r="F274" s="115">
        <v>1498.44</v>
      </c>
      <c r="G274" s="115">
        <v>1374.34</v>
      </c>
      <c r="H274" s="115">
        <v>1036.01</v>
      </c>
      <c r="I274" s="115">
        <v>952.12</v>
      </c>
      <c r="J274" s="115">
        <v>863.9</v>
      </c>
      <c r="K274" s="115">
        <v>664.01</v>
      </c>
      <c r="L274" s="115">
        <v>905.74</v>
      </c>
      <c r="M274" s="115">
        <v>922.07</v>
      </c>
      <c r="N274" s="115">
        <v>1325.49</v>
      </c>
      <c r="O274" s="115">
        <v>1362.06</v>
      </c>
      <c r="P274" s="115">
        <v>1774.22</v>
      </c>
      <c r="Q274" s="115">
        <f t="shared" si="24"/>
        <v>14197.46</v>
      </c>
      <c r="R274" s="108"/>
      <c r="S274" s="270"/>
      <c r="U274" s="253"/>
    </row>
    <row r="275" spans="1:21" ht="12.75">
      <c r="A275" s="116">
        <f t="shared" si="23"/>
        <v>269</v>
      </c>
      <c r="B275" s="111" t="s">
        <v>968</v>
      </c>
      <c r="C275" s="111">
        <v>21261</v>
      </c>
      <c r="D275" s="122" t="s">
        <v>585</v>
      </c>
      <c r="E275" s="115">
        <v>1316.74</v>
      </c>
      <c r="F275" s="115">
        <v>1301.81</v>
      </c>
      <c r="G275" s="115">
        <v>1593.64</v>
      </c>
      <c r="H275" s="115">
        <v>1394.21</v>
      </c>
      <c r="I275" s="115">
        <v>1231.34</v>
      </c>
      <c r="J275" s="115">
        <v>910.18</v>
      </c>
      <c r="K275" s="115">
        <v>685.63</v>
      </c>
      <c r="L275" s="115">
        <v>547.63</v>
      </c>
      <c r="M275" s="115">
        <v>553.84</v>
      </c>
      <c r="N275" s="115">
        <v>594.55</v>
      </c>
      <c r="O275" s="115">
        <v>608.35</v>
      </c>
      <c r="P275" s="115">
        <v>787.52</v>
      </c>
      <c r="Q275" s="115">
        <f t="shared" si="24"/>
        <v>11525.44</v>
      </c>
      <c r="R275" s="108"/>
      <c r="S275" s="270"/>
      <c r="U275" s="253"/>
    </row>
    <row r="276" spans="1:21" ht="12.75">
      <c r="A276" s="116">
        <f t="shared" si="23"/>
        <v>270</v>
      </c>
      <c r="B276" s="111" t="s">
        <v>969</v>
      </c>
      <c r="C276" s="111">
        <v>21262</v>
      </c>
      <c r="D276" s="122" t="s">
        <v>585</v>
      </c>
      <c r="E276" s="115">
        <v>1420.77</v>
      </c>
      <c r="F276" s="115">
        <v>1403.7</v>
      </c>
      <c r="G276" s="115">
        <v>2326.39</v>
      </c>
      <c r="H276" s="115">
        <v>1587.14</v>
      </c>
      <c r="I276" s="115">
        <v>1867.89</v>
      </c>
      <c r="J276" s="115">
        <v>1807.49</v>
      </c>
      <c r="K276" s="115">
        <v>1622.19</v>
      </c>
      <c r="L276" s="115">
        <v>1518.69</v>
      </c>
      <c r="M276" s="115">
        <v>1535.02</v>
      </c>
      <c r="N276" s="115">
        <v>1975.93</v>
      </c>
      <c r="O276" s="115">
        <v>1149.77</v>
      </c>
      <c r="P276" s="115">
        <v>1375.63</v>
      </c>
      <c r="Q276" s="115">
        <f t="shared" si="24"/>
        <v>19590.610000000004</v>
      </c>
      <c r="R276" s="108"/>
      <c r="S276" s="270"/>
      <c r="U276" s="253"/>
    </row>
    <row r="277" spans="1:21" ht="12.75">
      <c r="A277" s="116">
        <f t="shared" si="23"/>
        <v>271</v>
      </c>
      <c r="B277" s="111" t="s">
        <v>674</v>
      </c>
      <c r="C277" s="117">
        <v>21826</v>
      </c>
      <c r="D277" s="128" t="s">
        <v>717</v>
      </c>
      <c r="E277" s="231">
        <v>0</v>
      </c>
      <c r="F277" s="231">
        <v>0</v>
      </c>
      <c r="G277" s="231">
        <v>0</v>
      </c>
      <c r="H277" s="231">
        <v>0</v>
      </c>
      <c r="I277" s="231">
        <v>0</v>
      </c>
      <c r="J277" s="231">
        <v>0</v>
      </c>
      <c r="K277" s="231">
        <v>0</v>
      </c>
      <c r="L277" s="231">
        <v>0</v>
      </c>
      <c r="M277" s="231">
        <v>0</v>
      </c>
      <c r="N277" s="231"/>
      <c r="O277" s="231"/>
      <c r="P277" s="231"/>
      <c r="Q277" s="119">
        <f t="shared" si="24"/>
        <v>0</v>
      </c>
      <c r="R277" s="124" t="s">
        <v>729</v>
      </c>
      <c r="S277" s="270"/>
      <c r="U277" s="253"/>
    </row>
    <row r="278" spans="1:21" ht="12.75">
      <c r="A278" s="116">
        <f t="shared" si="23"/>
        <v>272</v>
      </c>
      <c r="B278" s="111" t="s">
        <v>675</v>
      </c>
      <c r="C278" s="117">
        <v>21834</v>
      </c>
      <c r="D278" s="128" t="s">
        <v>717</v>
      </c>
      <c r="E278" s="231">
        <v>0</v>
      </c>
      <c r="F278" s="231">
        <v>0</v>
      </c>
      <c r="G278" s="231">
        <v>0</v>
      </c>
      <c r="H278" s="231">
        <v>0</v>
      </c>
      <c r="I278" s="231">
        <v>0</v>
      </c>
      <c r="J278" s="231">
        <v>0</v>
      </c>
      <c r="K278" s="231">
        <v>0</v>
      </c>
      <c r="L278" s="231">
        <v>0</v>
      </c>
      <c r="M278" s="231">
        <v>0</v>
      </c>
      <c r="N278" s="231"/>
      <c r="O278" s="231"/>
      <c r="P278" s="231"/>
      <c r="Q278" s="119">
        <f t="shared" si="24"/>
        <v>0</v>
      </c>
      <c r="R278" s="124" t="s">
        <v>730</v>
      </c>
      <c r="S278" s="270"/>
      <c r="U278" s="253"/>
    </row>
    <row r="279" spans="1:21" ht="12.75">
      <c r="A279" s="116">
        <f t="shared" si="23"/>
        <v>273</v>
      </c>
      <c r="B279" s="111" t="s">
        <v>970</v>
      </c>
      <c r="C279" s="111">
        <v>21395</v>
      </c>
      <c r="D279" s="122">
        <v>0</v>
      </c>
      <c r="E279" s="113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>
        <f t="shared" si="24"/>
        <v>0</v>
      </c>
      <c r="R279" s="108"/>
      <c r="S279" s="270"/>
      <c r="U279" s="253"/>
    </row>
    <row r="280" spans="1:21" ht="12.75">
      <c r="A280" s="116">
        <f t="shared" si="23"/>
        <v>274</v>
      </c>
      <c r="B280" s="111" t="s">
        <v>971</v>
      </c>
      <c r="C280" s="111">
        <v>12224</v>
      </c>
      <c r="D280" s="122">
        <v>2</v>
      </c>
      <c r="E280" s="113">
        <f>ROUND(0.04*521.42,0)*3.53*2</f>
        <v>148.26</v>
      </c>
      <c r="F280" s="114">
        <f>ROUND(0.04*409.08,0)*3.53*2</f>
        <v>112.96</v>
      </c>
      <c r="G280" s="114">
        <f>ROUND(0.04*366.33,0)*3.53*2</f>
        <v>105.89999999999999</v>
      </c>
      <c r="H280" s="114">
        <f>ROUND(0.04*254.17,0)*3.53*2</f>
        <v>70.6</v>
      </c>
      <c r="I280" s="114">
        <f>ROUND(0.04*168.83,0)*3.53*2</f>
        <v>49.419999999999995</v>
      </c>
      <c r="J280" s="114">
        <f>ROUND(0.04*102.5,0)*3.53*2</f>
        <v>28.24</v>
      </c>
      <c r="K280" s="114">
        <f>ROUND(0.04*143.25,0)*3.84*2</f>
        <v>46.08</v>
      </c>
      <c r="L280" s="114">
        <f>(0.04*235.08)*3.84*2</f>
        <v>72.216576</v>
      </c>
      <c r="M280" s="240">
        <f>(0.04*314.166)*3.84*2</f>
        <v>96.5117952</v>
      </c>
      <c r="N280" s="260">
        <f>(0.04*430.833)*3.84*2</f>
        <v>132.35189760000003</v>
      </c>
      <c r="O280" s="286"/>
      <c r="P280" s="286"/>
      <c r="Q280" s="115">
        <f t="shared" si="24"/>
        <v>862.5402687999999</v>
      </c>
      <c r="R280" s="284" t="s">
        <v>302</v>
      </c>
      <c r="S280" s="275"/>
      <c r="U280" s="253"/>
    </row>
    <row r="281" spans="1:21" ht="12.75">
      <c r="A281" s="116">
        <f t="shared" si="23"/>
        <v>275</v>
      </c>
      <c r="B281" s="111" t="s">
        <v>972</v>
      </c>
      <c r="C281" s="111">
        <v>12233</v>
      </c>
      <c r="D281" s="122">
        <v>2</v>
      </c>
      <c r="E281" s="113">
        <f>ROUND(0.04*521.42,0)*3.53*2</f>
        <v>148.26</v>
      </c>
      <c r="F281" s="114">
        <f>ROUND(0.04*409.08,0)*3.53*2</f>
        <v>112.96</v>
      </c>
      <c r="G281" s="114">
        <f>ROUND(0.04*366.33,0)*3.53*2</f>
        <v>105.89999999999999</v>
      </c>
      <c r="H281" s="114">
        <f>ROUND(0.04*254.17,0)*3.53*2</f>
        <v>70.6</v>
      </c>
      <c r="I281" s="114">
        <f>ROUND(0.04*168.83,0)*3.53*2</f>
        <v>49.419999999999995</v>
      </c>
      <c r="J281" s="114">
        <f>ROUND(0.04*102.5,0)*3.53*2</f>
        <v>28.24</v>
      </c>
      <c r="K281" s="114">
        <f>ROUND(0.04*143.25,0)*3.84*2</f>
        <v>46.08</v>
      </c>
      <c r="L281" s="114">
        <f>(0.04*235.08)*3.84*2</f>
        <v>72.216576</v>
      </c>
      <c r="M281" s="240">
        <f>(0.04*314.166)*3.84*2</f>
        <v>96.5117952</v>
      </c>
      <c r="N281" s="260">
        <f>(0.04*430.833)*3.84*2</f>
        <v>132.35189760000003</v>
      </c>
      <c r="O281" s="286"/>
      <c r="P281" s="286"/>
      <c r="Q281" s="115">
        <f t="shared" si="24"/>
        <v>862.5402687999999</v>
      </c>
      <c r="R281" s="284" t="s">
        <v>303</v>
      </c>
      <c r="S281" s="270"/>
      <c r="U281" s="253"/>
    </row>
    <row r="282" spans="1:21" ht="12.75">
      <c r="A282" s="116">
        <f t="shared" si="23"/>
        <v>276</v>
      </c>
      <c r="B282" s="111" t="s">
        <v>973</v>
      </c>
      <c r="C282" s="117">
        <v>12228</v>
      </c>
      <c r="D282" s="12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>
        <f t="shared" si="24"/>
        <v>0</v>
      </c>
      <c r="R282" s="124" t="s">
        <v>974</v>
      </c>
      <c r="S282" s="270"/>
      <c r="U282" s="253"/>
    </row>
    <row r="283" spans="1:21" ht="12.75">
      <c r="A283" s="116">
        <f t="shared" si="23"/>
        <v>277</v>
      </c>
      <c r="B283" s="111" t="s">
        <v>975</v>
      </c>
      <c r="C283" s="111">
        <v>12231</v>
      </c>
      <c r="D283" s="122">
        <v>2</v>
      </c>
      <c r="E283" s="113">
        <f>ROUND(0.04*521.42,0)*3.53*2</f>
        <v>148.26</v>
      </c>
      <c r="F283" s="114">
        <f>ROUND(0.04*409.08,0)*3.53*2</f>
        <v>112.96</v>
      </c>
      <c r="G283" s="114">
        <f>ROUND(0.04*366.33,0)*3.53*2</f>
        <v>105.89999999999999</v>
      </c>
      <c r="H283" s="114">
        <f>ROUND(0.04*254.17,0)*3.53*2</f>
        <v>70.6</v>
      </c>
      <c r="I283" s="114">
        <f>ROUND(0.04*168.83,0)*3.53*2</f>
        <v>49.419999999999995</v>
      </c>
      <c r="J283" s="114">
        <f>ROUND(0.04*102.5,0)*3.53*2</f>
        <v>28.24</v>
      </c>
      <c r="K283" s="114">
        <f>ROUND(0.04*143.25,0)*3.84*2</f>
        <v>46.08</v>
      </c>
      <c r="L283" s="114">
        <f>(0.04*235.08)*3.84*2</f>
        <v>72.216576</v>
      </c>
      <c r="M283" s="240">
        <f>(0.04*314.166)*3.84*2</f>
        <v>96.5117952</v>
      </c>
      <c r="N283" s="260">
        <f>(0.04*430.833)*3.84*2</f>
        <v>132.35189760000003</v>
      </c>
      <c r="O283" s="286"/>
      <c r="P283" s="286"/>
      <c r="Q283" s="115">
        <f t="shared" si="24"/>
        <v>862.5402687999999</v>
      </c>
      <c r="R283" s="284" t="s">
        <v>304</v>
      </c>
      <c r="S283" s="270"/>
      <c r="U283" s="253"/>
    </row>
    <row r="284" spans="1:21" ht="12.75">
      <c r="A284" s="116">
        <f t="shared" si="23"/>
        <v>278</v>
      </c>
      <c r="B284" s="111" t="s">
        <v>976</v>
      </c>
      <c r="C284" s="117">
        <v>12239</v>
      </c>
      <c r="D284" s="128">
        <v>10</v>
      </c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>
        <f t="shared" si="24"/>
        <v>0</v>
      </c>
      <c r="R284" s="108" t="s">
        <v>977</v>
      </c>
      <c r="S284" s="270"/>
      <c r="U284" s="253"/>
    </row>
    <row r="285" spans="1:21" ht="12.75">
      <c r="A285" s="116">
        <f t="shared" si="23"/>
        <v>279</v>
      </c>
      <c r="B285" s="111" t="s">
        <v>978</v>
      </c>
      <c r="C285" s="111">
        <v>12240</v>
      </c>
      <c r="D285" s="122">
        <v>10</v>
      </c>
      <c r="E285" s="114">
        <f>ROUND(0.04*521.42,0)*3.53*10</f>
        <v>741.3</v>
      </c>
      <c r="F285" s="114">
        <f>ROUND(0.04*409.08,0)*3.53*10</f>
        <v>564.8</v>
      </c>
      <c r="G285" s="114">
        <f>ROUND(0.04*366.33,0)*3.53*10</f>
        <v>529.5</v>
      </c>
      <c r="H285" s="114">
        <f>ROUND(0.04*254.17,0)*3.53*10</f>
        <v>353</v>
      </c>
      <c r="I285" s="114">
        <f>ROUND(0.04*168.83,0)*3.53*10</f>
        <v>247.09999999999997</v>
      </c>
      <c r="J285" s="114">
        <f>ROUND(0.04*102.5,0)*3.53*10</f>
        <v>141.2</v>
      </c>
      <c r="K285" s="114">
        <f>ROUND(0.04*143.25,0)*3.84*10</f>
        <v>230.39999999999998</v>
      </c>
      <c r="L285" s="114">
        <f>(0.04*235.08)*3.84*10</f>
        <v>361.08288000000005</v>
      </c>
      <c r="M285" s="114">
        <f>(0.04*314.166)*3.84*10</f>
        <v>482.558976</v>
      </c>
      <c r="N285" s="261">
        <f>(0.04*430.833)*3.84*10</f>
        <v>661.7594880000001</v>
      </c>
      <c r="O285" s="119"/>
      <c r="P285" s="119"/>
      <c r="Q285" s="115">
        <f t="shared" si="24"/>
        <v>4312.701343999999</v>
      </c>
      <c r="R285" s="284" t="s">
        <v>305</v>
      </c>
      <c r="S285" s="270"/>
      <c r="U285" s="253"/>
    </row>
    <row r="286" spans="1:21" ht="12.75">
      <c r="A286" s="116">
        <f t="shared" si="23"/>
        <v>280</v>
      </c>
      <c r="B286" s="111" t="s">
        <v>330</v>
      </c>
      <c r="C286" s="111">
        <v>12242</v>
      </c>
      <c r="D286" s="122" t="s">
        <v>584</v>
      </c>
      <c r="E286" s="115"/>
      <c r="F286" s="115"/>
      <c r="G286" s="151">
        <f>ROUND(0.04*366.33,0)*3.53*8</f>
        <v>423.59999999999997</v>
      </c>
      <c r="H286" s="151">
        <f>ROUND(0.04*254.17,0)*3.53*8</f>
        <v>282.4</v>
      </c>
      <c r="I286" s="151">
        <f>ROUND(0.04*168.83,0)*3.53*8</f>
        <v>197.67999999999998</v>
      </c>
      <c r="J286" s="151">
        <v>0</v>
      </c>
      <c r="K286" s="151">
        <v>0</v>
      </c>
      <c r="L286" s="151">
        <v>0</v>
      </c>
      <c r="M286" s="151">
        <v>0</v>
      </c>
      <c r="N286" s="151">
        <v>0</v>
      </c>
      <c r="O286" s="151"/>
      <c r="P286" s="151"/>
      <c r="Q286" s="115">
        <f t="shared" si="24"/>
        <v>903.68</v>
      </c>
      <c r="R286" s="108"/>
      <c r="S286" s="274"/>
      <c r="U286" s="253"/>
    </row>
    <row r="287" spans="1:21" ht="12.75">
      <c r="A287" s="116">
        <f t="shared" si="23"/>
        <v>281</v>
      </c>
      <c r="B287" s="111" t="s">
        <v>979</v>
      </c>
      <c r="C287" s="111">
        <v>12235</v>
      </c>
      <c r="D287" s="122">
        <v>3</v>
      </c>
      <c r="E287" s="113">
        <f>ROUND(0.04*521.42,0)*3.53*3</f>
        <v>222.39</v>
      </c>
      <c r="F287" s="114">
        <f>ROUND(0.04*409.08,0)*3.53*3</f>
        <v>169.44</v>
      </c>
      <c r="G287" s="114">
        <f>ROUND(0.04*366.33,0)*3.53*3</f>
        <v>158.85</v>
      </c>
      <c r="H287" s="114">
        <f>ROUND(0.04*254.17,0)*3.53*3</f>
        <v>105.89999999999999</v>
      </c>
      <c r="I287" s="114">
        <f>ROUND(0.04*168.83,0)*3.53*3</f>
        <v>74.13</v>
      </c>
      <c r="J287" s="114">
        <f>ROUND(0.04*102.5,0)*3.53*3</f>
        <v>42.36</v>
      </c>
      <c r="K287" s="114">
        <f>ROUND(0.04*143.25,0)*3.84*3</f>
        <v>69.12</v>
      </c>
      <c r="L287" s="114">
        <f>(0.04*235.08)*3.84*3</f>
        <v>108.324864</v>
      </c>
      <c r="M287" s="114">
        <f>(0.04*314.166)*3.84*3</f>
        <v>144.7676928</v>
      </c>
      <c r="N287" s="114">
        <f>(0.04*430.833)*3.84*3</f>
        <v>198.52784640000004</v>
      </c>
      <c r="O287" s="119"/>
      <c r="P287" s="119"/>
      <c r="Q287" s="115">
        <f t="shared" si="24"/>
        <v>1293.8104032</v>
      </c>
      <c r="R287" s="285" t="s">
        <v>285</v>
      </c>
      <c r="S287" s="270"/>
      <c r="U287" s="253"/>
    </row>
    <row r="288" spans="1:21" ht="12.75">
      <c r="A288" s="116">
        <f t="shared" si="23"/>
        <v>282</v>
      </c>
      <c r="B288" s="111" t="s">
        <v>980</v>
      </c>
      <c r="C288" s="111">
        <v>12238</v>
      </c>
      <c r="D288" s="122">
        <v>15</v>
      </c>
      <c r="E288" s="113">
        <f>ROUND(0.04*521.42,0)*3.53*15</f>
        <v>1111.9499999999998</v>
      </c>
      <c r="F288" s="114">
        <f>ROUND(0.04*409.08,0)*3.53*15</f>
        <v>847.1999999999999</v>
      </c>
      <c r="G288" s="114">
        <f>ROUND(0.04*366.33,0)*3.53*15</f>
        <v>794.2499999999999</v>
      </c>
      <c r="H288" s="114">
        <f>ROUND(0.04*254.17,0)*3.53*15</f>
        <v>529.5</v>
      </c>
      <c r="I288" s="114">
        <f>ROUND(0.04*168.83,0)*3.53*15</f>
        <v>370.65</v>
      </c>
      <c r="J288" s="114">
        <f>ROUND(0.04*102.5,0)*3.53*15</f>
        <v>211.79999999999998</v>
      </c>
      <c r="K288" s="114">
        <f>ROUND(0.04*143.25,0)*3.84*15</f>
        <v>345.59999999999997</v>
      </c>
      <c r="L288" s="114">
        <f>(0.04*235.08)*3.84*15</f>
        <v>541.62432</v>
      </c>
      <c r="M288" s="114">
        <f>(0.04*314.166)*3.84*15</f>
        <v>723.8384639999999</v>
      </c>
      <c r="N288" s="261">
        <f>(0.04*430.833)*3.84*15</f>
        <v>992.6392320000002</v>
      </c>
      <c r="O288" s="119"/>
      <c r="P288" s="119"/>
      <c r="Q288" s="115">
        <f t="shared" si="24"/>
        <v>6469.052016000001</v>
      </c>
      <c r="R288" s="284" t="s">
        <v>306</v>
      </c>
      <c r="S288" s="270"/>
      <c r="U288" s="253"/>
    </row>
    <row r="289" spans="1:21" ht="12.75">
      <c r="A289" s="116">
        <f t="shared" si="23"/>
        <v>283</v>
      </c>
      <c r="B289" s="111" t="s">
        <v>605</v>
      </c>
      <c r="C289" s="117"/>
      <c r="D289" s="152">
        <v>3</v>
      </c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>
        <f t="shared" si="24"/>
        <v>0</v>
      </c>
      <c r="R289" s="124" t="s">
        <v>286</v>
      </c>
      <c r="S289" s="270"/>
      <c r="U289" s="253"/>
    </row>
    <row r="290" spans="1:21" ht="12.75">
      <c r="A290" s="116">
        <f t="shared" si="23"/>
        <v>284</v>
      </c>
      <c r="B290" s="111" t="s">
        <v>982</v>
      </c>
      <c r="C290" s="111">
        <v>12254</v>
      </c>
      <c r="D290" s="122">
        <v>0</v>
      </c>
      <c r="E290" s="113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>
        <f t="shared" si="24"/>
        <v>0</v>
      </c>
      <c r="R290" s="108"/>
      <c r="S290" s="270"/>
      <c r="U290" s="253"/>
    </row>
    <row r="291" spans="1:21" ht="12.75">
      <c r="A291" s="116">
        <f t="shared" si="23"/>
        <v>285</v>
      </c>
      <c r="B291" s="111" t="s">
        <v>983</v>
      </c>
      <c r="C291" s="121"/>
      <c r="D291" s="148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5">
        <f t="shared" si="24"/>
        <v>0</v>
      </c>
      <c r="R291" s="108"/>
      <c r="S291" s="270"/>
      <c r="U291" s="253"/>
    </row>
    <row r="292" spans="1:21" ht="12.75">
      <c r="A292" s="116">
        <f t="shared" si="23"/>
        <v>286</v>
      </c>
      <c r="B292" s="111" t="s">
        <v>984</v>
      </c>
      <c r="C292" s="117"/>
      <c r="D292" s="152">
        <v>0</v>
      </c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5">
        <f t="shared" si="24"/>
        <v>0</v>
      </c>
      <c r="R292" s="124" t="s">
        <v>287</v>
      </c>
      <c r="S292" s="270"/>
      <c r="U292" s="253"/>
    </row>
    <row r="293" spans="1:21" ht="12.75">
      <c r="A293" s="116">
        <f t="shared" si="23"/>
        <v>287</v>
      </c>
      <c r="B293" s="111" t="s">
        <v>986</v>
      </c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236"/>
      <c r="P293" s="236"/>
      <c r="Q293" s="115">
        <f t="shared" si="24"/>
        <v>0</v>
      </c>
      <c r="R293" s="99" t="s">
        <v>285</v>
      </c>
      <c r="S293" s="270"/>
      <c r="U293" s="253"/>
    </row>
    <row r="294" spans="1:21" ht="12.75">
      <c r="A294" s="116">
        <f t="shared" si="23"/>
        <v>288</v>
      </c>
      <c r="B294" s="111" t="s">
        <v>987</v>
      </c>
      <c r="C294" s="111">
        <v>12262</v>
      </c>
      <c r="D294" s="122">
        <v>3</v>
      </c>
      <c r="E294" s="113">
        <f>ROUND(0.04*521.42,0)*3.53*3</f>
        <v>222.39</v>
      </c>
      <c r="F294" s="114">
        <f>ROUND(0.04*409.08,0)*3.53*3</f>
        <v>169.44</v>
      </c>
      <c r="G294" s="114">
        <f>ROUND(0.04*366.33,0)*3.53*3</f>
        <v>158.85</v>
      </c>
      <c r="H294" s="114">
        <f>ROUND(0.04*254.17,0)*3.53*3</f>
        <v>105.89999999999999</v>
      </c>
      <c r="I294" s="114">
        <f>ROUND(0.04*168.83,0)*3.53*3</f>
        <v>74.13</v>
      </c>
      <c r="J294" s="114">
        <f>ROUND(0.04*102.5,0)*3.53*3</f>
        <v>42.36</v>
      </c>
      <c r="K294" s="114">
        <f>ROUND(0.04*143.25,0)*3.84*3</f>
        <v>69.12</v>
      </c>
      <c r="L294" s="114">
        <f>(0.04*235.08)*3.84*3</f>
        <v>108.324864</v>
      </c>
      <c r="M294" s="114">
        <f>(0.04*314.166)*3.84*3</f>
        <v>144.7676928</v>
      </c>
      <c r="N294" s="261">
        <f>(0.04*430.833)*3.84*3</f>
        <v>198.52784640000004</v>
      </c>
      <c r="O294" s="119"/>
      <c r="P294" s="119"/>
      <c r="Q294" s="115">
        <f t="shared" si="24"/>
        <v>1293.8104032</v>
      </c>
      <c r="R294" s="284" t="s">
        <v>307</v>
      </c>
      <c r="S294" s="270"/>
      <c r="U294" s="253"/>
    </row>
    <row r="295" spans="1:21" ht="12.75">
      <c r="A295" s="116">
        <f t="shared" si="23"/>
        <v>289</v>
      </c>
      <c r="B295" s="111" t="s">
        <v>676</v>
      </c>
      <c r="C295" s="121">
        <v>12265</v>
      </c>
      <c r="D295" s="122">
        <v>2</v>
      </c>
      <c r="E295" s="113">
        <f>ROUND(0.04*521.42,0)*3.53*2</f>
        <v>148.26</v>
      </c>
      <c r="F295" s="114">
        <f>ROUND(0.04*409.08,0)*3.53*2</f>
        <v>112.96</v>
      </c>
      <c r="G295" s="114">
        <f>ROUND(0.04*366.33,0)*3.53*2</f>
        <v>105.89999999999999</v>
      </c>
      <c r="H295" s="114">
        <f>ROUND(0.04*254.17,0)*3.53*2</f>
        <v>70.6</v>
      </c>
      <c r="I295" s="114">
        <f>ROUND(0.04*168.83,0)*3.53*2</f>
        <v>49.419999999999995</v>
      </c>
      <c r="J295" s="114">
        <v>0</v>
      </c>
      <c r="K295" s="114">
        <v>0</v>
      </c>
      <c r="L295" s="114"/>
      <c r="M295" s="114"/>
      <c r="N295" s="114"/>
      <c r="O295" s="119"/>
      <c r="P295" s="119"/>
      <c r="Q295" s="115">
        <f t="shared" si="24"/>
        <v>487.13999999999993</v>
      </c>
      <c r="R295" s="162" t="s">
        <v>716</v>
      </c>
      <c r="S295" s="270"/>
      <c r="U295" s="253"/>
    </row>
    <row r="296" spans="1:21" ht="12.75">
      <c r="A296" s="116">
        <f t="shared" si="23"/>
        <v>290</v>
      </c>
      <c r="B296" s="111" t="s">
        <v>988</v>
      </c>
      <c r="C296" s="111">
        <v>12266</v>
      </c>
      <c r="D296" s="122">
        <v>3</v>
      </c>
      <c r="E296" s="113">
        <f>ROUND(0.04*521.42,0)*3.53*3</f>
        <v>222.39</v>
      </c>
      <c r="F296" s="114">
        <f>ROUND(0.04*409.08,0)*3.53*3</f>
        <v>169.44</v>
      </c>
      <c r="G296" s="114">
        <f>ROUND(0.04*366.33,0)*3.53*3</f>
        <v>158.85</v>
      </c>
      <c r="H296" s="114">
        <f>ROUND(0.04*254.17,0)*3.53*3</f>
        <v>105.89999999999999</v>
      </c>
      <c r="I296" s="114">
        <f>ROUND(0.04*168.83,0)*3.53*3</f>
        <v>74.13</v>
      </c>
      <c r="J296" s="114">
        <f>ROUND(0.04*102.5,0)*3.53*3</f>
        <v>42.36</v>
      </c>
      <c r="K296" s="114">
        <f>ROUND(0.04*143.25,0)*3.84*3</f>
        <v>69.12</v>
      </c>
      <c r="L296" s="114">
        <f>(0.04*235.08)*3.84*3</f>
        <v>108.324864</v>
      </c>
      <c r="M296" s="114">
        <f>(0.04*314.166)*3.84*3</f>
        <v>144.7676928</v>
      </c>
      <c r="N296" s="261">
        <f>(0.04*430.833)*3.84*3</f>
        <v>198.52784640000004</v>
      </c>
      <c r="O296" s="119"/>
      <c r="P296" s="119"/>
      <c r="Q296" s="115">
        <f t="shared" si="24"/>
        <v>1293.8104032</v>
      </c>
      <c r="R296" s="284" t="s">
        <v>308</v>
      </c>
      <c r="S296" s="270"/>
      <c r="U296" s="253"/>
    </row>
    <row r="297" spans="1:21" ht="12.75">
      <c r="A297" s="116">
        <f t="shared" si="23"/>
        <v>291</v>
      </c>
      <c r="B297" s="111" t="s">
        <v>989</v>
      </c>
      <c r="C297" s="111">
        <v>12267</v>
      </c>
      <c r="D297" s="122">
        <v>3</v>
      </c>
      <c r="E297" s="113">
        <f>ROUND(0.04*521.42,0)*3.53*3</f>
        <v>222.39</v>
      </c>
      <c r="F297" s="114">
        <f>ROUND(0.04*409.08,0)*3.53*3</f>
        <v>169.44</v>
      </c>
      <c r="G297" s="114">
        <f>ROUND(0.04*366.33,0)*3.53*3</f>
        <v>158.85</v>
      </c>
      <c r="H297" s="114">
        <f>ROUND(0.04*254.17,0)*3.53*3</f>
        <v>105.89999999999999</v>
      </c>
      <c r="I297" s="114">
        <f>ROUND(0.04*168.83,0)*3.53*3</f>
        <v>74.13</v>
      </c>
      <c r="J297" s="114">
        <f>ROUND(0.04*102.5,0)*3.53*3</f>
        <v>42.36</v>
      </c>
      <c r="K297" s="114">
        <f>ROUND(0.04*143.25,0)*3.84*3</f>
        <v>69.12</v>
      </c>
      <c r="L297" s="114">
        <f>(0.04*235.08)*3.84*3</f>
        <v>108.324864</v>
      </c>
      <c r="M297" s="114">
        <f>(0.04*314.166)*3.84*3</f>
        <v>144.7676928</v>
      </c>
      <c r="N297" s="119"/>
      <c r="O297" s="119"/>
      <c r="P297" s="119"/>
      <c r="Q297" s="115">
        <f t="shared" si="24"/>
        <v>1095.2825568</v>
      </c>
      <c r="R297" s="108" t="s">
        <v>279</v>
      </c>
      <c r="S297" s="270"/>
      <c r="U297" s="253"/>
    </row>
    <row r="298" spans="1:21" ht="12.75">
      <c r="A298" s="116">
        <f t="shared" si="23"/>
        <v>292</v>
      </c>
      <c r="B298" s="111" t="s">
        <v>990</v>
      </c>
      <c r="C298" s="111">
        <v>12273</v>
      </c>
      <c r="D298" s="122">
        <v>13</v>
      </c>
      <c r="E298" s="113">
        <f>ROUND(0.04*521.42,0)*3.53*13</f>
        <v>963.6899999999999</v>
      </c>
      <c r="F298" s="114">
        <f>ROUND(0.04*409.08,0)*3.53*13</f>
        <v>734.24</v>
      </c>
      <c r="G298" s="114">
        <f>ROUND(0.04*366.33,0)*3.53*13</f>
        <v>688.3499999999999</v>
      </c>
      <c r="H298" s="114">
        <f>ROUND(0.04*254.17,0)*3.53*13</f>
        <v>458.9</v>
      </c>
      <c r="I298" s="114">
        <f>ROUND(0.04*168.83,0)*3.53*13</f>
        <v>321.22999999999996</v>
      </c>
      <c r="J298" s="114">
        <v>0</v>
      </c>
      <c r="K298" s="114">
        <v>0</v>
      </c>
      <c r="L298" s="114"/>
      <c r="M298" s="114"/>
      <c r="N298" s="114"/>
      <c r="O298" s="119"/>
      <c r="P298" s="119"/>
      <c r="Q298" s="115">
        <f t="shared" si="24"/>
        <v>3166.41</v>
      </c>
      <c r="R298" s="108" t="s">
        <v>285</v>
      </c>
      <c r="S298" s="270"/>
      <c r="U298" s="253"/>
    </row>
    <row r="299" spans="1:21" ht="12.75">
      <c r="A299" s="116">
        <f t="shared" si="23"/>
        <v>293</v>
      </c>
      <c r="B299" s="111" t="s">
        <v>991</v>
      </c>
      <c r="C299" s="9">
        <v>10026</v>
      </c>
      <c r="D299" s="125"/>
      <c r="E299" s="125"/>
      <c r="F299" s="125"/>
      <c r="G299" s="125"/>
      <c r="H299" s="125"/>
      <c r="I299" s="125"/>
      <c r="J299" s="125"/>
      <c r="K299" s="125"/>
      <c r="L299" s="125"/>
      <c r="M299" s="254">
        <f>21.6*2.83*3.84</f>
        <v>234.73152000000002</v>
      </c>
      <c r="N299" s="254">
        <f>21.6*2.83*3.84</f>
        <v>234.73152000000002</v>
      </c>
      <c r="O299" s="254">
        <f>21.6*2.83*3.84</f>
        <v>234.73152000000002</v>
      </c>
      <c r="P299" s="254">
        <f>21.6*2.83*3.84</f>
        <v>234.73152000000002</v>
      </c>
      <c r="Q299" s="115">
        <f t="shared" si="24"/>
        <v>938.9260800000001</v>
      </c>
      <c r="S299" s="271"/>
      <c r="U299" s="253"/>
    </row>
    <row r="300" spans="1:21" ht="12.75">
      <c r="A300" s="116">
        <f t="shared" si="23"/>
        <v>294</v>
      </c>
      <c r="B300" s="111" t="s">
        <v>677</v>
      </c>
      <c r="C300" s="121">
        <v>21663</v>
      </c>
      <c r="D300" s="230" t="s">
        <v>717</v>
      </c>
      <c r="E300" s="125"/>
      <c r="F300" s="125"/>
      <c r="G300" s="125"/>
      <c r="H300" s="151">
        <v>0</v>
      </c>
      <c r="I300" s="151">
        <v>0</v>
      </c>
      <c r="J300" s="151"/>
      <c r="K300" s="151"/>
      <c r="L300" s="151"/>
      <c r="M300" s="151"/>
      <c r="N300" s="231"/>
      <c r="O300" s="231"/>
      <c r="P300" s="231"/>
      <c r="Q300" s="115">
        <f t="shared" si="24"/>
        <v>0</v>
      </c>
      <c r="S300" s="270"/>
      <c r="U300" s="253"/>
    </row>
    <row r="301" spans="1:21" ht="12.75">
      <c r="A301" s="116">
        <f t="shared" si="23"/>
        <v>295</v>
      </c>
      <c r="B301" s="111" t="s">
        <v>992</v>
      </c>
      <c r="C301" s="111">
        <v>21664</v>
      </c>
      <c r="D301" s="122">
        <v>1</v>
      </c>
      <c r="E301" s="113">
        <f>ROUND(0.04*521.42,0)*3.53</f>
        <v>74.13</v>
      </c>
      <c r="F301" s="114">
        <f>ROUND(0.04*409.08,0)*3.53</f>
        <v>56.48</v>
      </c>
      <c r="G301" s="114">
        <f>ROUND(0.04*366.33,0)*3.53</f>
        <v>52.949999999999996</v>
      </c>
      <c r="H301" s="114">
        <f>ROUND(0.04*254.17,0)*3.53</f>
        <v>35.3</v>
      </c>
      <c r="I301" s="114">
        <f>ROUND(0.04*168.83,0)*3.53</f>
        <v>24.709999999999997</v>
      </c>
      <c r="J301" s="114">
        <f>ROUND(0.04*102.5,0)*3.53</f>
        <v>14.12</v>
      </c>
      <c r="K301" s="114">
        <f>ROUND(0.04*143.25,0)*3.84</f>
        <v>23.04</v>
      </c>
      <c r="L301" s="114">
        <f>(0.04*235.08)*3.84</f>
        <v>36.108288</v>
      </c>
      <c r="M301" s="114">
        <f>(0.04*314.166)*3.84</f>
        <v>48.2558976</v>
      </c>
      <c r="N301" s="261">
        <f>(0.04*430.833)*3.84</f>
        <v>66.17594880000001</v>
      </c>
      <c r="O301" s="261"/>
      <c r="P301" s="261"/>
      <c r="Q301" s="115">
        <f t="shared" si="24"/>
        <v>431.27013439999996</v>
      </c>
      <c r="R301" s="108"/>
      <c r="S301" s="276"/>
      <c r="U301" s="253"/>
    </row>
    <row r="302" spans="1:21" ht="12.75">
      <c r="A302" s="116">
        <f t="shared" si="23"/>
        <v>296</v>
      </c>
      <c r="B302" s="111" t="s">
        <v>678</v>
      </c>
      <c r="C302" s="121">
        <v>21666</v>
      </c>
      <c r="D302" s="230" t="s">
        <v>717</v>
      </c>
      <c r="E302" s="125"/>
      <c r="F302" s="125"/>
      <c r="G302" s="125"/>
      <c r="H302" s="151">
        <v>0</v>
      </c>
      <c r="I302" s="151">
        <v>0</v>
      </c>
      <c r="J302" s="151"/>
      <c r="K302" s="151"/>
      <c r="L302" s="151"/>
      <c r="M302" s="151"/>
      <c r="N302" s="231"/>
      <c r="O302" s="231"/>
      <c r="P302" s="231"/>
      <c r="Q302" s="115">
        <f t="shared" si="24"/>
        <v>0</v>
      </c>
      <c r="S302" s="270"/>
      <c r="U302" s="253"/>
    </row>
    <row r="303" spans="1:21" ht="12.75">
      <c r="A303" s="116">
        <f t="shared" si="23"/>
        <v>297</v>
      </c>
      <c r="B303" s="111" t="s">
        <v>993</v>
      </c>
      <c r="C303" s="111">
        <v>21667</v>
      </c>
      <c r="D303" s="122">
        <v>2</v>
      </c>
      <c r="E303" s="113">
        <f>ROUND(0.04*521.42,0)*3.53*2</f>
        <v>148.26</v>
      </c>
      <c r="F303" s="114">
        <f>ROUND(0.04*409.08,0)*3.53*2</f>
        <v>112.96</v>
      </c>
      <c r="G303" s="114">
        <f>ROUND(0.04*366.33,0)*3.53*2</f>
        <v>105.89999999999999</v>
      </c>
      <c r="H303" s="114">
        <f>ROUND(0.04*254.17,0)*3.53*2</f>
        <v>70.6</v>
      </c>
      <c r="I303" s="114">
        <f>ROUND(0.04*168.83,0)*3.53*2</f>
        <v>49.419999999999995</v>
      </c>
      <c r="J303" s="114">
        <f>ROUND(0.04*102.5,0)*3.53*2</f>
        <v>28.24</v>
      </c>
      <c r="K303" s="114">
        <f>ROUND(0.04*143.25,0)*3.84*2</f>
        <v>46.08</v>
      </c>
      <c r="L303" s="114">
        <f>(0.04*235.08)*3.84*2</f>
        <v>72.216576</v>
      </c>
      <c r="M303" s="240">
        <f>(0.04*314.166)*3.84*2</f>
        <v>96.5117952</v>
      </c>
      <c r="N303" s="260">
        <f>(0.04*430.833)*3.84*2</f>
        <v>132.35189760000003</v>
      </c>
      <c r="O303" s="260"/>
      <c r="P303" s="260"/>
      <c r="Q303" s="115">
        <f t="shared" si="24"/>
        <v>862.5402687999999</v>
      </c>
      <c r="R303" s="108"/>
      <c r="S303" s="270"/>
      <c r="U303" s="253"/>
    </row>
    <row r="304" spans="1:21" ht="12.75">
      <c r="A304" s="116">
        <f t="shared" si="23"/>
        <v>298</v>
      </c>
      <c r="B304" s="111" t="s">
        <v>994</v>
      </c>
      <c r="C304" s="117">
        <v>21263</v>
      </c>
      <c r="D304" s="128">
        <v>0</v>
      </c>
      <c r="E304" s="113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>
        <f t="shared" si="24"/>
        <v>0</v>
      </c>
      <c r="R304" s="108"/>
      <c r="S304" s="270"/>
      <c r="U304" s="253"/>
    </row>
    <row r="305" spans="1:21" ht="12.75">
      <c r="A305" s="116">
        <f t="shared" si="23"/>
        <v>299</v>
      </c>
      <c r="B305" s="111" t="s">
        <v>995</v>
      </c>
      <c r="C305" s="117">
        <v>21264</v>
      </c>
      <c r="D305" s="128">
        <v>0</v>
      </c>
      <c r="E305" s="113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>
        <f t="shared" si="24"/>
        <v>0</v>
      </c>
      <c r="R305" s="99" t="s">
        <v>280</v>
      </c>
      <c r="S305" s="270"/>
      <c r="U305" s="253"/>
    </row>
    <row r="306" spans="1:21" ht="12.75">
      <c r="A306" s="116">
        <f t="shared" si="23"/>
        <v>300</v>
      </c>
      <c r="B306" s="111" t="s">
        <v>996</v>
      </c>
      <c r="C306" s="111">
        <v>12085</v>
      </c>
      <c r="D306" s="122">
        <v>8</v>
      </c>
      <c r="E306" s="113">
        <f>ROUND(0.04*521.42,0)*3.53*8</f>
        <v>593.04</v>
      </c>
      <c r="F306" s="114">
        <f>ROUND(0.04*409.08,0)*3.53*8</f>
        <v>451.84</v>
      </c>
      <c r="G306" s="114">
        <f>ROUND(0.04*366.33,0)*3.53*8</f>
        <v>423.59999999999997</v>
      </c>
      <c r="H306" s="114">
        <f>ROUND(0.04*254.17,0)*3.53*8</f>
        <v>282.4</v>
      </c>
      <c r="I306" s="114">
        <f>ROUND(0.04*168.83,0)*3.53*8</f>
        <v>197.67999999999998</v>
      </c>
      <c r="J306" s="114">
        <f>ROUND(0.04*102.5,0)*3.53*8</f>
        <v>112.96</v>
      </c>
      <c r="K306" s="114">
        <f>ROUND(0.04*143.25,0)*3.84*8</f>
        <v>184.32</v>
      </c>
      <c r="L306" s="114">
        <f>(0.04*235.08)*3.84*8</f>
        <v>288.866304</v>
      </c>
      <c r="M306" s="114">
        <f>(0.04*314.166)*3.84*8</f>
        <v>386.0471808</v>
      </c>
      <c r="N306" s="261">
        <f>(0.04*430.833)*3.84*8</f>
        <v>529.4075904000001</v>
      </c>
      <c r="O306" s="261"/>
      <c r="P306" s="261"/>
      <c r="Q306" s="115">
        <f t="shared" si="24"/>
        <v>3450.1610751999997</v>
      </c>
      <c r="R306" s="108"/>
      <c r="S306" s="270"/>
      <c r="U306" s="253"/>
    </row>
    <row r="307" spans="1:21" ht="12.75">
      <c r="A307" s="116">
        <f t="shared" si="23"/>
        <v>301</v>
      </c>
      <c r="B307" s="111" t="s">
        <v>997</v>
      </c>
      <c r="C307" s="111">
        <v>12086</v>
      </c>
      <c r="D307" s="122">
        <v>14</v>
      </c>
      <c r="E307" s="113">
        <f>ROUND(0.04*521.42,0)*3.53*14</f>
        <v>1037.82</v>
      </c>
      <c r="F307" s="114">
        <f>ROUND(0.04*409.08,0)*3.53*14</f>
        <v>790.7199999999999</v>
      </c>
      <c r="G307" s="114">
        <f>ROUND(0.04*366.33,0)*3.53*14</f>
        <v>741.3</v>
      </c>
      <c r="H307" s="114">
        <f>ROUND(0.04*254.17,0)*3.53*14</f>
        <v>494.19999999999993</v>
      </c>
      <c r="I307" s="114">
        <f>ROUND(0.04*168.83,0)*3.53*14</f>
        <v>345.93999999999994</v>
      </c>
      <c r="J307" s="114">
        <f>ROUND(0.04*102.5,0)*3.53*14</f>
        <v>197.67999999999998</v>
      </c>
      <c r="K307" s="114">
        <f>ROUND(0.04*143.25,0)*3.84*14</f>
        <v>322.56</v>
      </c>
      <c r="L307" s="114">
        <f>(0.04*235.08)*3.84*14</f>
        <v>505.516032</v>
      </c>
      <c r="M307" s="114">
        <f>(0.04*314.166)*3.84*14</f>
        <v>675.5825663999999</v>
      </c>
      <c r="N307" s="261">
        <f>(0.04*430.833)*3.84*14</f>
        <v>926.4632832000002</v>
      </c>
      <c r="O307" s="261"/>
      <c r="P307" s="261"/>
      <c r="Q307" s="115">
        <f t="shared" si="24"/>
        <v>6037.7818816</v>
      </c>
      <c r="R307" s="108"/>
      <c r="S307" s="270"/>
      <c r="U307" s="253"/>
    </row>
    <row r="308" spans="1:21" ht="12.75">
      <c r="A308" s="116">
        <f t="shared" si="23"/>
        <v>302</v>
      </c>
      <c r="B308" s="111" t="s">
        <v>998</v>
      </c>
      <c r="C308" s="111">
        <v>12088</v>
      </c>
      <c r="D308" s="122">
        <v>15</v>
      </c>
      <c r="E308" s="113">
        <f>ROUND(0.04*521.42,0)*3.53*15</f>
        <v>1111.9499999999998</v>
      </c>
      <c r="F308" s="114">
        <f>ROUND(0.04*409.08,0)*3.53*15</f>
        <v>847.1999999999999</v>
      </c>
      <c r="G308" s="114">
        <f>ROUND(0.04*366.33,0)*3.53*15</f>
        <v>794.2499999999999</v>
      </c>
      <c r="H308" s="114">
        <f>ROUND(0.04*254.17,0)*3.53*15</f>
        <v>529.5</v>
      </c>
      <c r="I308" s="114">
        <f>ROUND(0.04*168.83,0)*3.53*15</f>
        <v>370.65</v>
      </c>
      <c r="J308" s="114">
        <f>ROUND(0.04*102.5,0)*3.53*15</f>
        <v>211.79999999999998</v>
      </c>
      <c r="K308" s="114">
        <f>ROUND(0.04*143.25,0)*3.84*15</f>
        <v>345.59999999999997</v>
      </c>
      <c r="L308" s="114">
        <f>(0.04*235.08)*3.84*15</f>
        <v>541.62432</v>
      </c>
      <c r="M308" s="114">
        <f>(0.04*314.166)*3.84*15</f>
        <v>723.8384639999999</v>
      </c>
      <c r="N308" s="261">
        <f>(0.04*430.833)*3.84*15</f>
        <v>992.6392320000002</v>
      </c>
      <c r="O308" s="261"/>
      <c r="P308" s="261"/>
      <c r="Q308" s="115">
        <f t="shared" si="24"/>
        <v>6469.052016000001</v>
      </c>
      <c r="R308" s="108"/>
      <c r="S308" s="270"/>
      <c r="U308" s="253"/>
    </row>
    <row r="309" spans="1:21" ht="12.75">
      <c r="A309" s="116">
        <f t="shared" si="23"/>
        <v>303</v>
      </c>
      <c r="B309" s="111" t="s">
        <v>999</v>
      </c>
      <c r="C309" s="111">
        <v>12093</v>
      </c>
      <c r="D309" s="122">
        <v>8</v>
      </c>
      <c r="E309" s="113">
        <f>ROUND(0.04*521.42,0)*3.53*8</f>
        <v>593.04</v>
      </c>
      <c r="F309" s="114">
        <f>ROUND(0.04*409.08,0)*3.53*8</f>
        <v>451.84</v>
      </c>
      <c r="G309" s="114">
        <f>ROUND(0.04*366.33,0)*3.53*8</f>
        <v>423.59999999999997</v>
      </c>
      <c r="H309" s="114">
        <f>ROUND(0.04*254.17,0)*3.53*8</f>
        <v>282.4</v>
      </c>
      <c r="I309" s="114">
        <f>ROUND(0.04*168.83,0)*3.53*8</f>
        <v>197.67999999999998</v>
      </c>
      <c r="J309" s="114">
        <f>ROUND(0.04*102.5,0)*3.53*8</f>
        <v>112.96</v>
      </c>
      <c r="K309" s="114">
        <f>ROUND(0.04*143.25,0)*3.84*8</f>
        <v>184.32</v>
      </c>
      <c r="L309" s="114">
        <f>(0.04*235.08)*3.84*8</f>
        <v>288.866304</v>
      </c>
      <c r="M309" s="131">
        <f>15.2*2.83*3.84</f>
        <v>165.18143999999998</v>
      </c>
      <c r="N309" s="131">
        <f>15.2*2.83*3.84</f>
        <v>165.18143999999998</v>
      </c>
      <c r="O309" s="131">
        <f>15.2*2.83*3.84</f>
        <v>165.18143999999998</v>
      </c>
      <c r="P309" s="131">
        <f>15.2*2.83*3.84</f>
        <v>165.18143999999998</v>
      </c>
      <c r="Q309" s="115">
        <f t="shared" si="24"/>
        <v>3195.432063999999</v>
      </c>
      <c r="R309" s="108"/>
      <c r="S309" s="270"/>
      <c r="U309" s="253"/>
    </row>
    <row r="310" spans="1:21" ht="12.75">
      <c r="A310" s="116">
        <f t="shared" si="23"/>
        <v>304</v>
      </c>
      <c r="B310" s="111" t="s">
        <v>1000</v>
      </c>
      <c r="C310" s="111">
        <v>12094</v>
      </c>
      <c r="D310" s="122">
        <v>13</v>
      </c>
      <c r="E310" s="113">
        <f>ROUND(0.04*521.42,0)*3.53*13</f>
        <v>963.6899999999999</v>
      </c>
      <c r="F310" s="114">
        <f>ROUND(0.04*409.08,0)*3.53*13</f>
        <v>734.24</v>
      </c>
      <c r="G310" s="114">
        <f>ROUND(0.04*366.33,0)*3.53*13</f>
        <v>688.3499999999999</v>
      </c>
      <c r="H310" s="114">
        <f>ROUND(0.04*254.17,0)*3.53*13</f>
        <v>458.9</v>
      </c>
      <c r="I310" s="114">
        <f>ROUND(0.04*168.83,0)*3.53*13</f>
        <v>321.22999999999996</v>
      </c>
      <c r="J310" s="114">
        <f>ROUND(0.04*102.5,0)*3.53*13</f>
        <v>183.56</v>
      </c>
      <c r="K310" s="114">
        <f>ROUND(0.04*143.25,0)*3.84*13</f>
        <v>299.52</v>
      </c>
      <c r="L310" s="114">
        <f>(0.04*235.08)*3.84*13</f>
        <v>469.40774400000004</v>
      </c>
      <c r="M310" s="131">
        <f>20.5*2.83*3.84</f>
        <v>222.7776</v>
      </c>
      <c r="N310" s="131">
        <f>20.5*2.83*3.84</f>
        <v>222.7776</v>
      </c>
      <c r="O310" s="131">
        <f>20.5*2.83*3.84</f>
        <v>222.7776</v>
      </c>
      <c r="P310" s="131">
        <f>20.5*2.83*3.84</f>
        <v>222.7776</v>
      </c>
      <c r="Q310" s="115">
        <f t="shared" si="24"/>
        <v>5010.008144000001</v>
      </c>
      <c r="R310" s="108"/>
      <c r="S310" s="271"/>
      <c r="U310" s="253"/>
    </row>
    <row r="311" spans="1:21" ht="12.75">
      <c r="A311" s="116">
        <f t="shared" si="23"/>
        <v>305</v>
      </c>
      <c r="B311" s="111" t="s">
        <v>1001</v>
      </c>
      <c r="C311" s="111">
        <v>12611</v>
      </c>
      <c r="D311" s="122">
        <v>10</v>
      </c>
      <c r="E311" s="113">
        <f>ROUND(0.04*521.42,0)*3.53*10</f>
        <v>741.3</v>
      </c>
      <c r="F311" s="114">
        <f>ROUND(0.04*409.08,0)*3.53*10</f>
        <v>564.8</v>
      </c>
      <c r="G311" s="114">
        <f>ROUND(0.04*366.33,0)*3.53*10</f>
        <v>529.5</v>
      </c>
      <c r="H311" s="114">
        <f>ROUND(0.04*254.17,0)*3.53*10</f>
        <v>353</v>
      </c>
      <c r="I311" s="114">
        <f>ROUND(0.04*168.83,0)*3.53*10</f>
        <v>247.09999999999997</v>
      </c>
      <c r="J311" s="114">
        <f>ROUND(0.04*102.5,0)*3.53*10</f>
        <v>141.2</v>
      </c>
      <c r="K311" s="114">
        <f>ROUND(0.04*143.25,0)*3.84*10</f>
        <v>230.39999999999998</v>
      </c>
      <c r="L311" s="114">
        <f>(0.04*235.08)*3.84*10</f>
        <v>361.08288000000005</v>
      </c>
      <c r="M311" s="131">
        <f>22.9*2.83*3.84</f>
        <v>248.85888</v>
      </c>
      <c r="N311" s="131">
        <f>22.9*2.83*3.84</f>
        <v>248.85888</v>
      </c>
      <c r="O311" s="131">
        <f>22.9*2.83*3.84</f>
        <v>248.85888</v>
      </c>
      <c r="P311" s="131">
        <f>22.9*2.83*3.84</f>
        <v>248.85888</v>
      </c>
      <c r="Q311" s="115">
        <f t="shared" si="24"/>
        <v>4163.818399999999</v>
      </c>
      <c r="R311" s="108"/>
      <c r="S311" s="270"/>
      <c r="U311" s="253"/>
    </row>
    <row r="312" spans="1:21" ht="12.75">
      <c r="A312" s="116">
        <f t="shared" si="23"/>
        <v>306</v>
      </c>
      <c r="B312" s="111" t="s">
        <v>679</v>
      </c>
      <c r="C312" s="121">
        <v>11713</v>
      </c>
      <c r="D312" s="122" t="s">
        <v>718</v>
      </c>
      <c r="E312" s="115"/>
      <c r="F312" s="115"/>
      <c r="G312" s="115"/>
      <c r="H312" s="115"/>
      <c r="I312" s="115"/>
      <c r="J312" s="115"/>
      <c r="K312" s="115"/>
      <c r="L312" s="115"/>
      <c r="M312" s="115"/>
      <c r="N312" s="119"/>
      <c r="O312" s="119"/>
      <c r="P312" s="119"/>
      <c r="Q312" s="115">
        <f t="shared" si="24"/>
        <v>0</v>
      </c>
      <c r="R312" s="108" t="s">
        <v>719</v>
      </c>
      <c r="S312" s="270"/>
      <c r="U312" s="253"/>
    </row>
    <row r="313" spans="1:21" ht="12.75">
      <c r="A313" s="116">
        <f t="shared" si="23"/>
        <v>307</v>
      </c>
      <c r="B313" s="111" t="s">
        <v>1002</v>
      </c>
      <c r="C313" s="117">
        <v>21668</v>
      </c>
      <c r="D313" s="128">
        <v>1</v>
      </c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>
        <f t="shared" si="24"/>
        <v>0</v>
      </c>
      <c r="R313" s="124" t="s">
        <v>1003</v>
      </c>
      <c r="S313" s="270"/>
      <c r="U313" s="253"/>
    </row>
    <row r="314" spans="1:21" ht="12.75">
      <c r="A314" s="116">
        <f t="shared" si="23"/>
        <v>308</v>
      </c>
      <c r="B314" s="111" t="s">
        <v>1004</v>
      </c>
      <c r="C314" s="111">
        <v>12098</v>
      </c>
      <c r="D314" s="122">
        <v>9</v>
      </c>
      <c r="E314" s="113">
        <f>ROUND(0.04*521.42,0)*3.53*9</f>
        <v>667.17</v>
      </c>
      <c r="F314" s="114">
        <f>ROUND(0.04*409.08,0)*3.53*9</f>
        <v>508.32</v>
      </c>
      <c r="G314" s="114">
        <f>ROUND(0.04*366.33,0)*3.53*9</f>
        <v>476.54999999999995</v>
      </c>
      <c r="H314" s="114">
        <f>ROUND(0.04*254.17,0)*3.53*9</f>
        <v>317.7</v>
      </c>
      <c r="I314" s="114">
        <f>ROUND(0.04*168.83,0)*3.53*9</f>
        <v>222.39</v>
      </c>
      <c r="J314" s="114">
        <f>ROUND(0.04*102.5,0)*3.53*9</f>
        <v>127.08</v>
      </c>
      <c r="K314" s="114">
        <f>ROUND(0.04*143.25,0)*3.84*9</f>
        <v>207.35999999999999</v>
      </c>
      <c r="L314" s="114">
        <f>(0.04*235.08)*3.84*9</f>
        <v>324.97459200000003</v>
      </c>
      <c r="M314" s="114">
        <f>(0.04*314.166)*3.84*9</f>
        <v>434.3030784</v>
      </c>
      <c r="N314" s="261">
        <f>(0.04*430.833)*3.84*9</f>
        <v>595.5835392000001</v>
      </c>
      <c r="O314" s="261"/>
      <c r="P314" s="261"/>
      <c r="Q314" s="114">
        <f t="shared" si="24"/>
        <v>3881.4312096000003</v>
      </c>
      <c r="R314" s="108" t="s">
        <v>1399</v>
      </c>
      <c r="S314" s="270"/>
      <c r="U314" s="253"/>
    </row>
    <row r="315" spans="1:21" ht="12.75">
      <c r="A315" s="116">
        <f t="shared" si="23"/>
        <v>309</v>
      </c>
      <c r="B315" s="111" t="s">
        <v>1005</v>
      </c>
      <c r="C315" s="111">
        <v>12099</v>
      </c>
      <c r="D315" s="122">
        <v>9</v>
      </c>
      <c r="E315" s="113">
        <f>ROUND(0.04*521.42,0)*3.53*9</f>
        <v>667.17</v>
      </c>
      <c r="F315" s="114">
        <f>ROUND(0.04*409.08,0)*3.53*9</f>
        <v>508.32</v>
      </c>
      <c r="G315" s="114">
        <f>ROUND(0.04*366.33,0)*3.53*9</f>
        <v>476.54999999999995</v>
      </c>
      <c r="H315" s="114">
        <f>ROUND(0.04*254.17,0)*3.53*9</f>
        <v>317.7</v>
      </c>
      <c r="I315" s="114">
        <f>ROUND(0.04*168.83,0)*3.53*9</f>
        <v>222.39</v>
      </c>
      <c r="J315" s="114">
        <f>ROUND(0.04*102.5,0)*3.53*9</f>
        <v>127.08</v>
      </c>
      <c r="K315" s="114">
        <f>ROUND(0.04*143.25,0)*3.84*9</f>
        <v>207.35999999999999</v>
      </c>
      <c r="L315" s="114">
        <f>(0.04*235.08)*3.84*9</f>
        <v>324.97459200000003</v>
      </c>
      <c r="M315" s="114">
        <f>(0.04*314.166)*3.84*9</f>
        <v>434.3030784</v>
      </c>
      <c r="N315" s="261">
        <f>(0.04*430.833)*3.84*9</f>
        <v>595.5835392000001</v>
      </c>
      <c r="O315" s="261"/>
      <c r="P315" s="261"/>
      <c r="Q315" s="114">
        <f t="shared" si="24"/>
        <v>3881.4312096000003</v>
      </c>
      <c r="R315" s="108" t="s">
        <v>1400</v>
      </c>
      <c r="S315" s="270"/>
      <c r="U315" s="253"/>
    </row>
    <row r="316" spans="1:21" ht="12.75">
      <c r="A316" s="116">
        <f t="shared" si="23"/>
        <v>310</v>
      </c>
      <c r="B316" s="111" t="s">
        <v>1006</v>
      </c>
      <c r="C316" s="117">
        <v>12104</v>
      </c>
      <c r="D316" s="128">
        <v>26</v>
      </c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>
        <f t="shared" si="24"/>
        <v>0</v>
      </c>
      <c r="R316" s="124" t="s">
        <v>1007</v>
      </c>
      <c r="S316" s="270"/>
      <c r="U316" s="253"/>
    </row>
    <row r="317" spans="1:21" ht="12.75">
      <c r="A317" s="116">
        <f t="shared" si="23"/>
        <v>311</v>
      </c>
      <c r="B317" s="111" t="s">
        <v>1008</v>
      </c>
      <c r="C317" s="117">
        <v>12105</v>
      </c>
      <c r="D317" s="128">
        <v>8</v>
      </c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>
        <f t="shared" si="24"/>
        <v>0</v>
      </c>
      <c r="R317" s="124" t="s">
        <v>974</v>
      </c>
      <c r="S317" s="270"/>
      <c r="U317" s="253"/>
    </row>
    <row r="318" spans="1:21" ht="12.75">
      <c r="A318" s="116">
        <f t="shared" si="23"/>
        <v>312</v>
      </c>
      <c r="B318" s="111" t="s">
        <v>1009</v>
      </c>
      <c r="C318" s="141">
        <v>10006</v>
      </c>
      <c r="D318" s="122" t="s">
        <v>586</v>
      </c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>
        <f t="shared" si="24"/>
        <v>0</v>
      </c>
      <c r="R318" s="108"/>
      <c r="S318" s="270"/>
      <c r="U318" s="253"/>
    </row>
    <row r="319" spans="1:21" ht="12.75">
      <c r="A319" s="116">
        <f t="shared" si="23"/>
        <v>313</v>
      </c>
      <c r="B319" s="111" t="s">
        <v>618</v>
      </c>
      <c r="C319" s="117">
        <v>10015</v>
      </c>
      <c r="D319" s="128" t="s">
        <v>586</v>
      </c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>
        <f t="shared" si="24"/>
        <v>0</v>
      </c>
      <c r="R319" s="108"/>
      <c r="S319" s="270"/>
      <c r="U319" s="253"/>
    </row>
    <row r="320" spans="1:21" ht="12.75">
      <c r="A320" s="116">
        <f t="shared" si="23"/>
        <v>314</v>
      </c>
      <c r="B320" s="111" t="s">
        <v>680</v>
      </c>
      <c r="C320" s="121">
        <v>10014</v>
      </c>
      <c r="D320" s="122" t="s">
        <v>717</v>
      </c>
      <c r="E320" s="235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5">
        <f t="shared" si="24"/>
        <v>0</v>
      </c>
      <c r="R320" s="162" t="s">
        <v>716</v>
      </c>
      <c r="S320" s="270"/>
      <c r="U320" s="253"/>
    </row>
    <row r="321" spans="1:21" ht="12.75">
      <c r="A321" s="116">
        <f t="shared" si="23"/>
        <v>315</v>
      </c>
      <c r="B321" s="111" t="s">
        <v>1010</v>
      </c>
      <c r="C321" s="111">
        <v>12406</v>
      </c>
      <c r="D321" s="129" t="s">
        <v>588</v>
      </c>
      <c r="E321" s="115">
        <v>8871.01</v>
      </c>
      <c r="F321" s="115">
        <v>8304.56</v>
      </c>
      <c r="G321" s="115">
        <v>6039.89</v>
      </c>
      <c r="H321" s="115">
        <v>10423.52</v>
      </c>
      <c r="I321" s="115">
        <v>9281.45</v>
      </c>
      <c r="J321" s="115">
        <v>7110.89</v>
      </c>
      <c r="K321" s="115">
        <v>8863.97</v>
      </c>
      <c r="L321" s="115">
        <v>8488.84</v>
      </c>
      <c r="M321" s="115">
        <v>8091.86</v>
      </c>
      <c r="N321" s="115">
        <v>9758.21</v>
      </c>
      <c r="O321" s="115">
        <v>8865.58</v>
      </c>
      <c r="P321" s="115">
        <v>7648.42</v>
      </c>
      <c r="Q321" s="115">
        <f t="shared" si="24"/>
        <v>101748.19999999998</v>
      </c>
      <c r="R321" s="108"/>
      <c r="S321" s="270"/>
      <c r="U321" s="253"/>
    </row>
    <row r="322" spans="1:21" ht="12.75">
      <c r="A322" s="116">
        <f t="shared" si="23"/>
        <v>316</v>
      </c>
      <c r="B322" s="111" t="s">
        <v>681</v>
      </c>
      <c r="C322" s="121">
        <v>12625</v>
      </c>
      <c r="D322" s="122" t="s">
        <v>717</v>
      </c>
      <c r="E322" s="113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>
        <f t="shared" si="24"/>
        <v>0</v>
      </c>
      <c r="R322" s="124" t="s">
        <v>716</v>
      </c>
      <c r="S322" s="270"/>
      <c r="U322" s="253"/>
    </row>
    <row r="323" spans="1:21" ht="12.75">
      <c r="A323" s="116">
        <f t="shared" si="23"/>
        <v>317</v>
      </c>
      <c r="B323" s="111" t="s">
        <v>1011</v>
      </c>
      <c r="C323" s="117">
        <v>12637</v>
      </c>
      <c r="D323" s="128">
        <v>0</v>
      </c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>
        <f t="shared" si="24"/>
        <v>0</v>
      </c>
      <c r="R323" s="108"/>
      <c r="S323" s="270"/>
      <c r="U323" s="253"/>
    </row>
    <row r="324" spans="1:21" ht="12.75">
      <c r="A324" s="116">
        <f t="shared" si="23"/>
        <v>318</v>
      </c>
      <c r="B324" s="111" t="s">
        <v>1012</v>
      </c>
      <c r="C324" s="111">
        <v>12407</v>
      </c>
      <c r="D324" s="129" t="s">
        <v>588</v>
      </c>
      <c r="E324" s="115">
        <v>5869.17</v>
      </c>
      <c r="F324" s="115">
        <v>4114.35</v>
      </c>
      <c r="G324" s="115">
        <v>11663.56</v>
      </c>
      <c r="H324" s="115">
        <v>10053.21</v>
      </c>
      <c r="I324" s="115">
        <v>9392.31</v>
      </c>
      <c r="J324" s="115">
        <v>7731.65</v>
      </c>
      <c r="K324" s="115">
        <v>7100.33</v>
      </c>
      <c r="L324" s="115">
        <v>9179.53</v>
      </c>
      <c r="M324" s="115">
        <v>8777.26</v>
      </c>
      <c r="N324" s="115">
        <v>9265.55</v>
      </c>
      <c r="O324" s="115">
        <v>9188.73</v>
      </c>
      <c r="P324" s="115">
        <v>8285.75</v>
      </c>
      <c r="Q324" s="115">
        <f t="shared" si="24"/>
        <v>100621.4</v>
      </c>
      <c r="R324" s="108"/>
      <c r="S324" s="270"/>
      <c r="U324" s="253"/>
    </row>
    <row r="325" spans="1:21" ht="12.75">
      <c r="A325" s="116">
        <f t="shared" si="23"/>
        <v>319</v>
      </c>
      <c r="B325" s="111" t="s">
        <v>1013</v>
      </c>
      <c r="C325" s="111">
        <v>33005</v>
      </c>
      <c r="D325" s="122" t="s">
        <v>591</v>
      </c>
      <c r="E325" s="119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>
        <f t="shared" si="24"/>
        <v>0</v>
      </c>
      <c r="R325" s="108"/>
      <c r="S325" s="270"/>
      <c r="U325" s="253"/>
    </row>
    <row r="326" spans="1:21" ht="12.75">
      <c r="A326" s="116">
        <f t="shared" si="23"/>
        <v>320</v>
      </c>
      <c r="B326" s="111" t="s">
        <v>363</v>
      </c>
      <c r="C326" s="111">
        <v>21824</v>
      </c>
      <c r="D326" s="132" t="s">
        <v>585</v>
      </c>
      <c r="E326" s="115">
        <v>662.31</v>
      </c>
      <c r="F326" s="115">
        <v>606.87</v>
      </c>
      <c r="G326" s="115">
        <v>476.78</v>
      </c>
      <c r="H326" s="115">
        <v>458.7</v>
      </c>
      <c r="I326" s="115">
        <v>416.58</v>
      </c>
      <c r="J326" s="115">
        <v>253.81</v>
      </c>
      <c r="K326" s="115">
        <v>372.83</v>
      </c>
      <c r="L326" s="115">
        <v>576.84</v>
      </c>
      <c r="M326" s="115">
        <v>590.18</v>
      </c>
      <c r="N326" s="115">
        <v>813.74</v>
      </c>
      <c r="O326" s="115">
        <v>625.83</v>
      </c>
      <c r="P326" s="115">
        <v>636.64</v>
      </c>
      <c r="Q326" s="115">
        <f t="shared" si="24"/>
        <v>6491.11</v>
      </c>
      <c r="R326" s="108"/>
      <c r="S326" s="270"/>
      <c r="U326" s="253"/>
    </row>
    <row r="327" spans="1:21" ht="12.75">
      <c r="A327" s="116">
        <f t="shared" si="23"/>
        <v>321</v>
      </c>
      <c r="B327" s="111" t="s">
        <v>364</v>
      </c>
      <c r="C327" s="111">
        <v>21827</v>
      </c>
      <c r="D327" s="132" t="s">
        <v>585</v>
      </c>
      <c r="E327" s="115">
        <v>1113.76</v>
      </c>
      <c r="F327" s="115">
        <v>1068.97</v>
      </c>
      <c r="G327" s="115">
        <v>1583.4099999999999</v>
      </c>
      <c r="H327" s="115">
        <v>1096.51</v>
      </c>
      <c r="I327" s="115">
        <v>1349.79</v>
      </c>
      <c r="J327" s="115">
        <v>1199.76</v>
      </c>
      <c r="K327" s="115">
        <v>1187.03</v>
      </c>
      <c r="L327" s="115">
        <v>726.57</v>
      </c>
      <c r="M327" s="115">
        <v>711.85</v>
      </c>
      <c r="N327" s="115">
        <v>1069.27</v>
      </c>
      <c r="O327" s="115">
        <v>806.15</v>
      </c>
      <c r="P327" s="115">
        <v>844.11</v>
      </c>
      <c r="Q327" s="115">
        <f t="shared" si="24"/>
        <v>12757.18</v>
      </c>
      <c r="R327" s="108"/>
      <c r="S327" s="270"/>
      <c r="U327" s="253"/>
    </row>
    <row r="328" spans="1:21" ht="12.75">
      <c r="A328" s="116">
        <f t="shared" si="23"/>
        <v>322</v>
      </c>
      <c r="B328" s="111" t="s">
        <v>365</v>
      </c>
      <c r="C328" s="111">
        <v>21828</v>
      </c>
      <c r="D328" s="132" t="s">
        <v>585</v>
      </c>
      <c r="E328" s="115">
        <v>2398.43</v>
      </c>
      <c r="F328" s="115">
        <v>2352.18</v>
      </c>
      <c r="G328" s="115">
        <v>598.96</v>
      </c>
      <c r="H328" s="115">
        <v>1720.78</v>
      </c>
      <c r="I328" s="115">
        <v>1646.71</v>
      </c>
      <c r="J328" s="115">
        <v>1474.75</v>
      </c>
      <c r="K328" s="115">
        <v>1367.35</v>
      </c>
      <c r="L328" s="115">
        <v>1619.89</v>
      </c>
      <c r="M328" s="115">
        <v>1608.16</v>
      </c>
      <c r="N328" s="115">
        <v>2271.71</v>
      </c>
      <c r="O328" s="115">
        <v>1323.65</v>
      </c>
      <c r="P328" s="115">
        <v>2005.37</v>
      </c>
      <c r="Q328" s="115">
        <f t="shared" si="24"/>
        <v>20387.94</v>
      </c>
      <c r="R328" s="108"/>
      <c r="S328" s="270"/>
      <c r="U328" s="253"/>
    </row>
    <row r="329" spans="1:21" ht="12.75">
      <c r="A329" s="116">
        <f aca="true" t="shared" si="25" ref="A329:A392">A328+1</f>
        <v>323</v>
      </c>
      <c r="B329" s="111" t="s">
        <v>366</v>
      </c>
      <c r="C329" s="111">
        <v>21829</v>
      </c>
      <c r="D329" s="132" t="s">
        <v>585</v>
      </c>
      <c r="E329" s="115">
        <v>479.02</v>
      </c>
      <c r="F329" s="115">
        <v>445.61</v>
      </c>
      <c r="G329" s="115">
        <v>528.14</v>
      </c>
      <c r="H329" s="115">
        <v>382.39</v>
      </c>
      <c r="I329" s="115">
        <v>419.35</v>
      </c>
      <c r="J329" s="115">
        <v>329.82</v>
      </c>
      <c r="K329" s="115">
        <v>387.78</v>
      </c>
      <c r="L329" s="115">
        <v>374.44</v>
      </c>
      <c r="M329" s="115">
        <v>384.56</v>
      </c>
      <c r="N329" s="115">
        <v>542.11</v>
      </c>
      <c r="O329" s="115">
        <v>422.05</v>
      </c>
      <c r="P329" s="115">
        <v>449.42</v>
      </c>
      <c r="Q329" s="115">
        <f t="shared" si="24"/>
        <v>5144.69</v>
      </c>
      <c r="R329" s="108"/>
      <c r="S329" s="270"/>
      <c r="U329" s="253"/>
    </row>
    <row r="330" spans="1:21" ht="12.75">
      <c r="A330" s="116">
        <f t="shared" si="25"/>
        <v>324</v>
      </c>
      <c r="B330" s="111" t="s">
        <v>1014</v>
      </c>
      <c r="C330" s="111">
        <v>12362</v>
      </c>
      <c r="D330" s="132" t="s">
        <v>585</v>
      </c>
      <c r="E330" s="115">
        <v>190.01</v>
      </c>
      <c r="F330" s="115">
        <v>2177.53</v>
      </c>
      <c r="G330" s="115">
        <v>1515.85</v>
      </c>
      <c r="H330" s="115">
        <v>1602.2</v>
      </c>
      <c r="I330" s="115">
        <v>0</v>
      </c>
      <c r="J330" s="115">
        <v>712.12</v>
      </c>
      <c r="K330" s="115">
        <v>670.22</v>
      </c>
      <c r="L330" s="115">
        <v>1320.89</v>
      </c>
      <c r="M330" s="115">
        <v>2124.97</v>
      </c>
      <c r="N330" s="115">
        <v>1087.9</v>
      </c>
      <c r="O330" s="115">
        <v>1784.34</v>
      </c>
      <c r="P330" s="115">
        <v>2530.23</v>
      </c>
      <c r="Q330" s="115">
        <f t="shared" si="24"/>
        <v>15716.26</v>
      </c>
      <c r="R330" s="108"/>
      <c r="S330" s="270"/>
      <c r="U330" s="253"/>
    </row>
    <row r="331" spans="1:21" ht="12.75">
      <c r="A331" s="116">
        <f t="shared" si="25"/>
        <v>325</v>
      </c>
      <c r="B331" s="111" t="s">
        <v>1015</v>
      </c>
      <c r="C331" s="111">
        <v>12360</v>
      </c>
      <c r="D331" s="129" t="s">
        <v>588</v>
      </c>
      <c r="E331" s="115">
        <v>7459.1</v>
      </c>
      <c r="F331" s="115">
        <v>6284.26</v>
      </c>
      <c r="G331" s="115">
        <v>4814.32</v>
      </c>
      <c r="H331" s="115">
        <v>6221.94</v>
      </c>
      <c r="I331" s="115">
        <v>5083.81</v>
      </c>
      <c r="J331" s="115">
        <v>5497.45</v>
      </c>
      <c r="K331" s="115">
        <v>5496.54</v>
      </c>
      <c r="L331" s="115">
        <v>5528.74</v>
      </c>
      <c r="M331" s="115">
        <v>5551.51</v>
      </c>
      <c r="N331" s="115">
        <v>6463.69</v>
      </c>
      <c r="O331" s="115">
        <v>7432.91</v>
      </c>
      <c r="P331" s="115">
        <v>6546.95</v>
      </c>
      <c r="Q331" s="115">
        <f t="shared" si="24"/>
        <v>72381.22</v>
      </c>
      <c r="R331" s="108"/>
      <c r="S331" s="270"/>
      <c r="U331" s="253"/>
    </row>
    <row r="332" spans="1:21" ht="12.75">
      <c r="A332" s="116">
        <f t="shared" si="25"/>
        <v>326</v>
      </c>
      <c r="B332" s="111" t="s">
        <v>1016</v>
      </c>
      <c r="C332" s="111">
        <v>12361</v>
      </c>
      <c r="D332" s="132" t="s">
        <v>585</v>
      </c>
      <c r="E332" s="115">
        <v>2232.55</v>
      </c>
      <c r="F332" s="115">
        <v>1839.71</v>
      </c>
      <c r="G332" s="115">
        <v>1573.94</v>
      </c>
      <c r="H332" s="115">
        <v>1428.44</v>
      </c>
      <c r="I332" s="115">
        <v>1134.95</v>
      </c>
      <c r="J332" s="115">
        <v>1152.07</v>
      </c>
      <c r="K332" s="115">
        <v>1175.07</v>
      </c>
      <c r="L332" s="115">
        <v>1333.08</v>
      </c>
      <c r="M332" s="115">
        <v>1503.51</v>
      </c>
      <c r="N332" s="115">
        <v>1877.03</v>
      </c>
      <c r="O332" s="115">
        <v>2331.51</v>
      </c>
      <c r="P332" s="115">
        <v>2338.87</v>
      </c>
      <c r="Q332" s="115">
        <f t="shared" si="24"/>
        <v>19920.73</v>
      </c>
      <c r="R332" s="108"/>
      <c r="S332" s="270"/>
      <c r="U332" s="253"/>
    </row>
    <row r="333" spans="1:21" ht="12.75">
      <c r="A333" s="116">
        <f t="shared" si="25"/>
        <v>327</v>
      </c>
      <c r="B333" s="111" t="s">
        <v>1017</v>
      </c>
      <c r="C333" s="111">
        <v>11165</v>
      </c>
      <c r="D333" s="132" t="s">
        <v>585</v>
      </c>
      <c r="E333" s="115">
        <v>607.05</v>
      </c>
      <c r="F333" s="115">
        <v>1531.02</v>
      </c>
      <c r="G333" s="115">
        <v>959.92</v>
      </c>
      <c r="H333" s="115">
        <v>1499.32</v>
      </c>
      <c r="I333" s="115">
        <v>1068.99</v>
      </c>
      <c r="J333" s="115">
        <v>1064.71</v>
      </c>
      <c r="K333" s="115">
        <v>1155.06</v>
      </c>
      <c r="L333" s="115">
        <v>1015.22</v>
      </c>
      <c r="M333" s="115">
        <v>1637.83</v>
      </c>
      <c r="N333" s="115">
        <v>1768.24</v>
      </c>
      <c r="O333" s="115">
        <v>1607.01</v>
      </c>
      <c r="P333" s="115">
        <v>1662.9</v>
      </c>
      <c r="Q333" s="115">
        <f t="shared" si="24"/>
        <v>15577.269999999999</v>
      </c>
      <c r="R333" s="108"/>
      <c r="S333" s="270"/>
      <c r="U333" s="253"/>
    </row>
    <row r="334" spans="1:21" ht="12.75">
      <c r="A334" s="116">
        <f t="shared" si="25"/>
        <v>328</v>
      </c>
      <c r="B334" s="111" t="s">
        <v>1018</v>
      </c>
      <c r="C334" s="111">
        <v>12109</v>
      </c>
      <c r="D334" s="122">
        <v>15</v>
      </c>
      <c r="E334" s="113">
        <f>ROUND(0.04*521.42,0)*3.53*15</f>
        <v>1111.9499999999998</v>
      </c>
      <c r="F334" s="114">
        <f>ROUND(0.04*409.08,0)*3.53*15</f>
        <v>847.1999999999999</v>
      </c>
      <c r="G334" s="114">
        <f>ROUND(0.04*366.33,0)*3.53*15</f>
        <v>794.2499999999999</v>
      </c>
      <c r="H334" s="114">
        <f>ROUND(0.04*254.17,0)*3.53*15</f>
        <v>529.5</v>
      </c>
      <c r="I334" s="114">
        <f>ROUND(0.04*168.83,0)*3.53*15</f>
        <v>370.65</v>
      </c>
      <c r="J334" s="114">
        <f>ROUND(0.04*102.5,0)*3.53*15</f>
        <v>211.79999999999998</v>
      </c>
      <c r="K334" s="114">
        <f>ROUND(0.04*143.25,0)*3.84*15</f>
        <v>345.59999999999997</v>
      </c>
      <c r="L334" s="114">
        <f>(0.04*235.08)*3.84*15</f>
        <v>541.62432</v>
      </c>
      <c r="M334" s="131">
        <f>24.1*2.83*3.84</f>
        <v>261.89952</v>
      </c>
      <c r="N334" s="131">
        <f>24.1*2.83*3.84</f>
        <v>261.89952</v>
      </c>
      <c r="O334" s="131">
        <f>24.1*2.83*3.84</f>
        <v>261.89952</v>
      </c>
      <c r="P334" s="131">
        <f>24.1*2.83*3.84</f>
        <v>261.89952</v>
      </c>
      <c r="Q334" s="115">
        <f aca="true" t="shared" si="26" ref="Q334:Q397">E334+F334+G334+H334+I334+J334+K334+L334+M334+N334+O334+P334</f>
        <v>5800.1723999999995</v>
      </c>
      <c r="R334" s="108"/>
      <c r="S334" s="270"/>
      <c r="U334" s="253"/>
    </row>
    <row r="335" spans="1:21" ht="12.75">
      <c r="A335" s="116">
        <f t="shared" si="25"/>
        <v>329</v>
      </c>
      <c r="B335" s="111" t="s">
        <v>1019</v>
      </c>
      <c r="C335" s="111">
        <v>11161</v>
      </c>
      <c r="D335" s="155" t="s">
        <v>588</v>
      </c>
      <c r="E335" s="115">
        <v>1505.67</v>
      </c>
      <c r="F335" s="115">
        <v>1430.24</v>
      </c>
      <c r="G335" s="115">
        <v>1208.53</v>
      </c>
      <c r="H335" s="115">
        <v>1228.47</v>
      </c>
      <c r="I335" s="115">
        <v>1263.97</v>
      </c>
      <c r="J335" s="115">
        <v>1422.41</v>
      </c>
      <c r="K335" s="115">
        <v>1388.05</v>
      </c>
      <c r="L335" s="115">
        <v>1287.77</v>
      </c>
      <c r="M335" s="115">
        <v>1321.35</v>
      </c>
      <c r="N335" s="115">
        <v>2365.55</v>
      </c>
      <c r="O335" s="115">
        <v>2590.03</v>
      </c>
      <c r="P335" s="115">
        <v>992.22</v>
      </c>
      <c r="Q335" s="115">
        <f t="shared" si="26"/>
        <v>18004.260000000002</v>
      </c>
      <c r="R335" s="108"/>
      <c r="S335" s="270"/>
      <c r="U335" s="253"/>
    </row>
    <row r="336" spans="1:21" ht="12.75">
      <c r="A336" s="116">
        <f t="shared" si="25"/>
        <v>330</v>
      </c>
      <c r="B336" s="111" t="s">
        <v>1020</v>
      </c>
      <c r="C336" s="111">
        <v>12113</v>
      </c>
      <c r="D336" s="122">
        <v>4</v>
      </c>
      <c r="E336" s="113">
        <f>ROUND(0.04*521.42,0)*3.53*4</f>
        <v>296.52</v>
      </c>
      <c r="F336" s="114">
        <f>ROUND(0.04*409.08,0)*3.53*4</f>
        <v>225.92</v>
      </c>
      <c r="G336" s="114">
        <f>ROUND(0.04*366.33,0)*3.53*4</f>
        <v>211.79999999999998</v>
      </c>
      <c r="H336" s="114">
        <f>ROUND(0.04*254.17,0)*3.53*4</f>
        <v>141.2</v>
      </c>
      <c r="I336" s="114">
        <f>ROUND(0.04*168.83,0)*3.53*4</f>
        <v>98.83999999999999</v>
      </c>
      <c r="J336" s="114">
        <f>ROUND(0.04*102.5,0)*3.53*4</f>
        <v>56.48</v>
      </c>
      <c r="K336" s="114">
        <f>ROUND(0.04*143.25,0)*3.84*4</f>
        <v>92.16</v>
      </c>
      <c r="L336" s="114">
        <f>(0.04*235.08)*3.84*4</f>
        <v>144.433152</v>
      </c>
      <c r="M336" s="114">
        <f>(0.04*314.166)*3.84*4</f>
        <v>193.0235904</v>
      </c>
      <c r="N336" s="261">
        <f>(0.04*430.833)*3.84*4</f>
        <v>264.70379520000006</v>
      </c>
      <c r="O336" s="119"/>
      <c r="P336" s="119"/>
      <c r="Q336" s="115">
        <f t="shared" si="26"/>
        <v>1725.0805375999998</v>
      </c>
      <c r="R336" s="108" t="s">
        <v>863</v>
      </c>
      <c r="S336" s="270"/>
      <c r="U336" s="253"/>
    </row>
    <row r="337" spans="1:21" ht="12.75">
      <c r="A337" s="116">
        <f t="shared" si="25"/>
        <v>331</v>
      </c>
      <c r="B337" s="111" t="s">
        <v>1021</v>
      </c>
      <c r="C337" s="117">
        <v>12118</v>
      </c>
      <c r="D337" s="128">
        <v>16</v>
      </c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>
        <f t="shared" si="26"/>
        <v>0</v>
      </c>
      <c r="R337" s="124" t="s">
        <v>1022</v>
      </c>
      <c r="S337" s="270"/>
      <c r="U337" s="253"/>
    </row>
    <row r="338" spans="1:21" ht="12.75">
      <c r="A338" s="116">
        <f t="shared" si="25"/>
        <v>332</v>
      </c>
      <c r="B338" s="111" t="s">
        <v>376</v>
      </c>
      <c r="C338" s="117">
        <v>12119</v>
      </c>
      <c r="D338" s="128" t="s">
        <v>584</v>
      </c>
      <c r="E338" s="142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>
        <f t="shared" si="26"/>
        <v>0</v>
      </c>
      <c r="R338" s="108" t="s">
        <v>288</v>
      </c>
      <c r="S338" s="270"/>
      <c r="U338" s="253"/>
    </row>
    <row r="339" spans="1:21" ht="12.75">
      <c r="A339" s="116">
        <f t="shared" si="25"/>
        <v>333</v>
      </c>
      <c r="B339" s="111" t="s">
        <v>1023</v>
      </c>
      <c r="C339" s="111">
        <v>11162</v>
      </c>
      <c r="D339" s="129" t="s">
        <v>588</v>
      </c>
      <c r="E339" s="115">
        <v>2017.62</v>
      </c>
      <c r="F339" s="115">
        <v>2407.84</v>
      </c>
      <c r="G339" s="115">
        <v>1973.61</v>
      </c>
      <c r="H339" s="115">
        <v>1812.88</v>
      </c>
      <c r="I339" s="115">
        <v>1704.24</v>
      </c>
      <c r="J339" s="115">
        <v>1679.92</v>
      </c>
      <c r="K339" s="115">
        <v>1726.61</v>
      </c>
      <c r="L339" s="115">
        <v>1747.31</v>
      </c>
      <c r="M339" s="115">
        <v>2354.74</v>
      </c>
      <c r="N339" s="115">
        <v>2319.09</v>
      </c>
      <c r="O339" s="115">
        <v>1989.73</v>
      </c>
      <c r="P339" s="115">
        <v>2049.3</v>
      </c>
      <c r="Q339" s="115">
        <f t="shared" si="26"/>
        <v>23782.89</v>
      </c>
      <c r="R339" s="108"/>
      <c r="S339" s="270"/>
      <c r="U339" s="253"/>
    </row>
    <row r="340" spans="1:21" ht="12.75">
      <c r="A340" s="116">
        <f t="shared" si="25"/>
        <v>334</v>
      </c>
      <c r="B340" s="111" t="s">
        <v>1024</v>
      </c>
      <c r="C340" s="111">
        <v>11163</v>
      </c>
      <c r="D340" s="129" t="s">
        <v>588</v>
      </c>
      <c r="E340" s="115">
        <v>2013.14</v>
      </c>
      <c r="F340" s="115">
        <v>1973.31</v>
      </c>
      <c r="G340" s="115">
        <v>1600.26</v>
      </c>
      <c r="H340" s="115">
        <v>1842.69</v>
      </c>
      <c r="I340" s="115">
        <v>1998.26</v>
      </c>
      <c r="J340" s="115">
        <v>1953.42</v>
      </c>
      <c r="K340" s="115">
        <v>2165.45</v>
      </c>
      <c r="L340" s="115">
        <v>1971.1</v>
      </c>
      <c r="M340" s="115">
        <v>2777.02</v>
      </c>
      <c r="N340" s="115">
        <v>2623.61</v>
      </c>
      <c r="O340" s="115">
        <v>2407.41</v>
      </c>
      <c r="P340" s="115">
        <v>2527.47</v>
      </c>
      <c r="Q340" s="115">
        <f t="shared" si="26"/>
        <v>25853.14</v>
      </c>
      <c r="R340" s="108"/>
      <c r="S340" s="270"/>
      <c r="U340" s="253"/>
    </row>
    <row r="341" spans="1:21" ht="12.75">
      <c r="A341" s="116">
        <f t="shared" si="25"/>
        <v>335</v>
      </c>
      <c r="B341" s="111" t="s">
        <v>1025</v>
      </c>
      <c r="C341" s="111">
        <v>11164</v>
      </c>
      <c r="D341" s="129" t="s">
        <v>588</v>
      </c>
      <c r="E341" s="115">
        <v>2606.16</v>
      </c>
      <c r="F341" s="115">
        <v>2869.84</v>
      </c>
      <c r="G341" s="115">
        <v>2132</v>
      </c>
      <c r="H341" s="115">
        <v>1926.43</v>
      </c>
      <c r="I341" s="115">
        <v>1949.87</v>
      </c>
      <c r="J341" s="115">
        <v>2320.83</v>
      </c>
      <c r="K341" s="115">
        <v>2114.85</v>
      </c>
      <c r="L341" s="115">
        <v>1834.48</v>
      </c>
      <c r="M341" s="115">
        <v>1877.95</v>
      </c>
      <c r="N341" s="115">
        <v>3607.78</v>
      </c>
      <c r="O341" s="115">
        <v>2441.45</v>
      </c>
      <c r="P341" s="115">
        <v>2435.7</v>
      </c>
      <c r="Q341" s="115">
        <f t="shared" si="26"/>
        <v>28117.34</v>
      </c>
      <c r="R341" s="108"/>
      <c r="S341" s="270"/>
      <c r="U341" s="253"/>
    </row>
    <row r="342" spans="1:21" ht="12.75">
      <c r="A342" s="116">
        <f t="shared" si="25"/>
        <v>336</v>
      </c>
      <c r="B342" s="111" t="s">
        <v>1026</v>
      </c>
      <c r="C342" s="111">
        <v>12642</v>
      </c>
      <c r="D342" s="122">
        <v>15</v>
      </c>
      <c r="E342" s="113">
        <f>ROUND(0.04*521.42,0)*3.53*15</f>
        <v>1111.9499999999998</v>
      </c>
      <c r="F342" s="114">
        <f>ROUND(0.04*409.08,0)*3.53*15</f>
        <v>847.1999999999999</v>
      </c>
      <c r="G342" s="114">
        <f>ROUND(0.04*366.33,0)*3.53*15</f>
        <v>794.2499999999999</v>
      </c>
      <c r="H342" s="114">
        <f>ROUND(0.04*254.17,0)*3.53*15</f>
        <v>529.5</v>
      </c>
      <c r="I342" s="114">
        <f>ROUND(0.04*168.83,0)*3.53*15</f>
        <v>370.65</v>
      </c>
      <c r="J342" s="114">
        <f>ROUND(0.04*102.5,0)*3.53*15</f>
        <v>211.79999999999998</v>
      </c>
      <c r="K342" s="114">
        <f>ROUND(0.04*143.25,0)*3.84*15</f>
        <v>345.59999999999997</v>
      </c>
      <c r="L342" s="114">
        <f>(0.04*235.08)*3.84*15</f>
        <v>541.62432</v>
      </c>
      <c r="M342" s="114">
        <f>(0.04*314.166)*3.84*15</f>
        <v>723.8384639999999</v>
      </c>
      <c r="N342" s="261">
        <f>(0.04*430.833)*3.84*15</f>
        <v>992.6392320000002</v>
      </c>
      <c r="O342" s="261"/>
      <c r="P342" s="261"/>
      <c r="Q342" s="115">
        <f t="shared" si="26"/>
        <v>6469.052016000001</v>
      </c>
      <c r="R342" s="108" t="s">
        <v>865</v>
      </c>
      <c r="S342" s="270"/>
      <c r="U342" s="253"/>
    </row>
    <row r="343" spans="1:21" ht="12.75">
      <c r="A343" s="116">
        <f t="shared" si="25"/>
        <v>337</v>
      </c>
      <c r="B343" s="111" t="s">
        <v>381</v>
      </c>
      <c r="C343" s="117">
        <v>12640</v>
      </c>
      <c r="D343" s="128" t="s">
        <v>584</v>
      </c>
      <c r="E343" s="142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>
        <f t="shared" si="26"/>
        <v>0</v>
      </c>
      <c r="R343" s="108" t="s">
        <v>289</v>
      </c>
      <c r="S343" s="270"/>
      <c r="U343" s="253"/>
    </row>
    <row r="344" spans="1:21" ht="12.75">
      <c r="A344" s="116">
        <f t="shared" si="25"/>
        <v>338</v>
      </c>
      <c r="B344" s="111" t="s">
        <v>682</v>
      </c>
      <c r="C344" s="121">
        <v>21408</v>
      </c>
      <c r="D344" s="229" t="s">
        <v>717</v>
      </c>
      <c r="E344" s="230" t="s">
        <v>1133</v>
      </c>
      <c r="F344" s="125"/>
      <c r="G344" s="125"/>
      <c r="H344" s="125"/>
      <c r="I344" s="125"/>
      <c r="J344" s="125"/>
      <c r="K344" s="125"/>
      <c r="L344" s="125"/>
      <c r="M344" s="125"/>
      <c r="N344" s="236"/>
      <c r="O344" s="236"/>
      <c r="P344" s="236"/>
      <c r="Q344" s="115" t="e">
        <f t="shared" si="26"/>
        <v>#VALUE!</v>
      </c>
      <c r="R344" s="99" t="s">
        <v>280</v>
      </c>
      <c r="S344" s="270"/>
      <c r="U344" s="253"/>
    </row>
    <row r="345" spans="1:21" ht="12.75">
      <c r="A345" s="116">
        <f t="shared" si="25"/>
        <v>339</v>
      </c>
      <c r="B345" s="111" t="s">
        <v>683</v>
      </c>
      <c r="C345" s="111">
        <v>21412</v>
      </c>
      <c r="D345" s="229" t="s">
        <v>717</v>
      </c>
      <c r="E345" s="115">
        <v>0</v>
      </c>
      <c r="F345" s="115">
        <v>0</v>
      </c>
      <c r="G345" s="115">
        <v>0</v>
      </c>
      <c r="H345" s="115">
        <v>0</v>
      </c>
      <c r="I345" s="115">
        <v>0</v>
      </c>
      <c r="J345" s="115">
        <v>0</v>
      </c>
      <c r="K345" s="115">
        <v>0</v>
      </c>
      <c r="L345" s="115">
        <v>0</v>
      </c>
      <c r="M345" s="115">
        <v>0</v>
      </c>
      <c r="N345" s="119"/>
      <c r="O345" s="119"/>
      <c r="P345" s="119"/>
      <c r="Q345" s="115">
        <f t="shared" si="26"/>
        <v>0</v>
      </c>
      <c r="S345" s="270"/>
      <c r="U345" s="253"/>
    </row>
    <row r="346" spans="1:21" ht="12.75">
      <c r="A346" s="116">
        <f t="shared" si="25"/>
        <v>340</v>
      </c>
      <c r="B346" s="111" t="s">
        <v>1027</v>
      </c>
      <c r="C346" s="111">
        <v>21678</v>
      </c>
      <c r="D346" s="122" t="s">
        <v>585</v>
      </c>
      <c r="E346" s="115">
        <v>166.32</v>
      </c>
      <c r="F346" s="115">
        <v>164.18</v>
      </c>
      <c r="G346" s="115">
        <v>217.53</v>
      </c>
      <c r="H346" s="115">
        <v>192.63</v>
      </c>
      <c r="I346" s="115">
        <v>132.96</v>
      </c>
      <c r="J346" s="115">
        <v>102.37</v>
      </c>
      <c r="K346" s="115">
        <v>101.89</v>
      </c>
      <c r="L346" s="115">
        <v>129.26</v>
      </c>
      <c r="M346" s="115">
        <v>126.96</v>
      </c>
      <c r="N346" s="115">
        <v>12.42</v>
      </c>
      <c r="O346" s="115">
        <v>84.87</v>
      </c>
      <c r="P346" s="115">
        <v>149.5</v>
      </c>
      <c r="Q346" s="115">
        <f t="shared" si="26"/>
        <v>1580.8900000000003</v>
      </c>
      <c r="R346" s="108"/>
      <c r="S346" s="270"/>
      <c r="U346" s="253"/>
    </row>
    <row r="347" spans="1:21" ht="12.75">
      <c r="A347" s="116">
        <f t="shared" si="25"/>
        <v>341</v>
      </c>
      <c r="B347" s="111" t="s">
        <v>1028</v>
      </c>
      <c r="C347" s="111">
        <v>21675</v>
      </c>
      <c r="D347" s="122" t="s">
        <v>585</v>
      </c>
      <c r="E347" s="115">
        <v>62.54</v>
      </c>
      <c r="F347" s="115">
        <v>64.68</v>
      </c>
      <c r="G347" s="115">
        <v>64.67999999999999</v>
      </c>
      <c r="H347" s="115">
        <v>64.68</v>
      </c>
      <c r="I347" s="115">
        <v>37.69</v>
      </c>
      <c r="J347" s="115">
        <v>15.66</v>
      </c>
      <c r="K347" s="115">
        <v>13.11</v>
      </c>
      <c r="L347" s="115">
        <v>19.32</v>
      </c>
      <c r="M347" s="115">
        <v>13.11</v>
      </c>
      <c r="N347" s="115">
        <v>57.5</v>
      </c>
      <c r="O347" s="115">
        <v>64.63</v>
      </c>
      <c r="P347" s="115">
        <v>80.96</v>
      </c>
      <c r="Q347" s="115">
        <f t="shared" si="26"/>
        <v>558.5600000000001</v>
      </c>
      <c r="R347" s="108"/>
      <c r="S347" s="270"/>
      <c r="U347" s="253"/>
    </row>
    <row r="348" spans="1:21" ht="12.75">
      <c r="A348" s="116">
        <f t="shared" si="25"/>
        <v>342</v>
      </c>
      <c r="B348" s="111" t="s">
        <v>1029</v>
      </c>
      <c r="C348" s="111">
        <v>21676</v>
      </c>
      <c r="D348" s="122" t="s">
        <v>585</v>
      </c>
      <c r="E348" s="115">
        <v>144.29</v>
      </c>
      <c r="F348" s="115">
        <v>151.39</v>
      </c>
      <c r="G348" s="115">
        <v>190.48999999999998</v>
      </c>
      <c r="H348" s="115">
        <v>199.73</v>
      </c>
      <c r="I348" s="115">
        <v>349.71</v>
      </c>
      <c r="J348" s="115">
        <v>301.37</v>
      </c>
      <c r="K348" s="115">
        <v>180.55</v>
      </c>
      <c r="L348" s="115">
        <v>123.74</v>
      </c>
      <c r="M348" s="115">
        <v>121.44</v>
      </c>
      <c r="N348" s="115">
        <v>526.93</v>
      </c>
      <c r="O348" s="115">
        <v>151.8</v>
      </c>
      <c r="P348" s="115">
        <v>210.91</v>
      </c>
      <c r="Q348" s="115">
        <f t="shared" si="26"/>
        <v>2652.35</v>
      </c>
      <c r="R348" s="108"/>
      <c r="S348" s="270"/>
      <c r="U348" s="253"/>
    </row>
    <row r="349" spans="1:21" ht="12.75">
      <c r="A349" s="116">
        <f t="shared" si="25"/>
        <v>343</v>
      </c>
      <c r="B349" s="111" t="s">
        <v>1030</v>
      </c>
      <c r="C349" s="111">
        <v>21677</v>
      </c>
      <c r="D349" s="122" t="s">
        <v>585</v>
      </c>
      <c r="E349" s="115">
        <v>27.72</v>
      </c>
      <c r="F349" s="115">
        <v>24.17</v>
      </c>
      <c r="G349" s="115">
        <v>22.03</v>
      </c>
      <c r="H349" s="115">
        <v>24.17</v>
      </c>
      <c r="I349" s="115">
        <v>20.62</v>
      </c>
      <c r="J349" s="115">
        <v>3.55</v>
      </c>
      <c r="K349" s="115">
        <v>2.3</v>
      </c>
      <c r="L349" s="115">
        <v>3.91</v>
      </c>
      <c r="M349" s="115">
        <v>3.91</v>
      </c>
      <c r="N349" s="115">
        <v>345.92</v>
      </c>
      <c r="O349" s="115">
        <v>121.21</v>
      </c>
      <c r="P349" s="115">
        <v>125.12</v>
      </c>
      <c r="Q349" s="115">
        <f t="shared" si="26"/>
        <v>724.63</v>
      </c>
      <c r="R349" s="108"/>
      <c r="S349" s="270"/>
      <c r="U349" s="253"/>
    </row>
    <row r="350" spans="1:21" ht="12.75">
      <c r="A350" s="116">
        <f t="shared" si="25"/>
        <v>344</v>
      </c>
      <c r="B350" s="111" t="s">
        <v>1031</v>
      </c>
      <c r="C350" s="111">
        <v>22454</v>
      </c>
      <c r="D350" s="122" t="s">
        <v>714</v>
      </c>
      <c r="E350" s="114">
        <v>2880.86</v>
      </c>
      <c r="F350" s="114">
        <v>2900.85</v>
      </c>
      <c r="G350" s="114">
        <v>2224.92</v>
      </c>
      <c r="H350" s="114">
        <v>1857.18</v>
      </c>
      <c r="I350" s="114">
        <v>1642.62</v>
      </c>
      <c r="J350" s="114">
        <v>1296.46</v>
      </c>
      <c r="K350" s="158">
        <v>968.99</v>
      </c>
      <c r="L350" s="114">
        <v>1577.8</v>
      </c>
      <c r="M350" s="114">
        <v>2223.18</v>
      </c>
      <c r="N350" s="114">
        <v>2118.76</v>
      </c>
      <c r="O350" s="114">
        <v>2118.76</v>
      </c>
      <c r="P350" s="114">
        <v>2840.73</v>
      </c>
      <c r="Q350" s="115">
        <f t="shared" si="26"/>
        <v>24651.109999999997</v>
      </c>
      <c r="R350" s="108"/>
      <c r="S350" s="270"/>
      <c r="U350" s="253"/>
    </row>
    <row r="351" spans="1:21" ht="12.75">
      <c r="A351" s="116">
        <f t="shared" si="25"/>
        <v>345</v>
      </c>
      <c r="B351" s="111" t="s">
        <v>1032</v>
      </c>
      <c r="C351" s="111">
        <v>22457</v>
      </c>
      <c r="D351" s="130" t="s">
        <v>1033</v>
      </c>
      <c r="E351" s="133">
        <f aca="true" t="shared" si="27" ref="E351:J351">46.3*2.83*3.53</f>
        <v>462.53236999999996</v>
      </c>
      <c r="F351" s="133">
        <f t="shared" si="27"/>
        <v>462.53236999999996</v>
      </c>
      <c r="G351" s="133">
        <f t="shared" si="27"/>
        <v>462.53236999999996</v>
      </c>
      <c r="H351" s="133">
        <f t="shared" si="27"/>
        <v>462.53236999999996</v>
      </c>
      <c r="I351" s="133">
        <f t="shared" si="27"/>
        <v>462.53236999999996</v>
      </c>
      <c r="J351" s="133">
        <f t="shared" si="27"/>
        <v>462.53236999999996</v>
      </c>
      <c r="K351" s="133">
        <f aca="true" t="shared" si="28" ref="K351:P351">46.3*2.83*3.84</f>
        <v>503.15135999999995</v>
      </c>
      <c r="L351" s="133">
        <f t="shared" si="28"/>
        <v>503.15135999999995</v>
      </c>
      <c r="M351" s="131">
        <f t="shared" si="28"/>
        <v>503.15135999999995</v>
      </c>
      <c r="N351" s="131">
        <f t="shared" si="28"/>
        <v>503.15135999999995</v>
      </c>
      <c r="O351" s="131">
        <f t="shared" si="28"/>
        <v>503.15135999999995</v>
      </c>
      <c r="P351" s="131">
        <f t="shared" si="28"/>
        <v>503.15135999999995</v>
      </c>
      <c r="Q351" s="115">
        <f t="shared" si="26"/>
        <v>5794.102379999999</v>
      </c>
      <c r="R351" s="108"/>
      <c r="S351" s="271"/>
      <c r="U351" s="253"/>
    </row>
    <row r="352" spans="1:21" ht="12.75">
      <c r="A352" s="116">
        <f t="shared" si="25"/>
        <v>346</v>
      </c>
      <c r="B352" s="111" t="s">
        <v>388</v>
      </c>
      <c r="C352" s="111">
        <v>22459</v>
      </c>
      <c r="D352" s="130" t="s">
        <v>1034</v>
      </c>
      <c r="E352" s="133">
        <f aca="true" t="shared" si="29" ref="E352:J352">19.5*2.83*3.53</f>
        <v>194.80304999999998</v>
      </c>
      <c r="F352" s="133">
        <f t="shared" si="29"/>
        <v>194.80304999999998</v>
      </c>
      <c r="G352" s="133">
        <f t="shared" si="29"/>
        <v>194.80304999999998</v>
      </c>
      <c r="H352" s="133">
        <f t="shared" si="29"/>
        <v>194.80304999999998</v>
      </c>
      <c r="I352" s="133">
        <f t="shared" si="29"/>
        <v>194.80304999999998</v>
      </c>
      <c r="J352" s="133">
        <f t="shared" si="29"/>
        <v>194.80304999999998</v>
      </c>
      <c r="K352" s="133">
        <f aca="true" t="shared" si="30" ref="K352:P352">19.5*2.83*3.84</f>
        <v>211.9104</v>
      </c>
      <c r="L352" s="133">
        <f t="shared" si="30"/>
        <v>211.9104</v>
      </c>
      <c r="M352" s="131">
        <f t="shared" si="30"/>
        <v>211.9104</v>
      </c>
      <c r="N352" s="131">
        <f t="shared" si="30"/>
        <v>211.9104</v>
      </c>
      <c r="O352" s="131">
        <f t="shared" si="30"/>
        <v>211.9104</v>
      </c>
      <c r="P352" s="131">
        <f t="shared" si="30"/>
        <v>211.9104</v>
      </c>
      <c r="Q352" s="115">
        <f t="shared" si="26"/>
        <v>2440.2807000000003</v>
      </c>
      <c r="R352" s="108"/>
      <c r="S352" s="271"/>
      <c r="U352" s="253"/>
    </row>
    <row r="353" spans="1:21" ht="12.75">
      <c r="A353" s="116">
        <f t="shared" si="25"/>
        <v>347</v>
      </c>
      <c r="B353" s="111" t="s">
        <v>389</v>
      </c>
      <c r="C353" s="111">
        <v>22458</v>
      </c>
      <c r="D353" s="130" t="s">
        <v>1035</v>
      </c>
      <c r="E353" s="133">
        <f aca="true" t="shared" si="31" ref="E353:J353">46.4*2.83*3.53</f>
        <v>463.53136</v>
      </c>
      <c r="F353" s="133">
        <f t="shared" si="31"/>
        <v>463.53136</v>
      </c>
      <c r="G353" s="133">
        <f t="shared" si="31"/>
        <v>463.53136</v>
      </c>
      <c r="H353" s="133">
        <f t="shared" si="31"/>
        <v>463.53136</v>
      </c>
      <c r="I353" s="133">
        <f t="shared" si="31"/>
        <v>463.53136</v>
      </c>
      <c r="J353" s="133">
        <f t="shared" si="31"/>
        <v>463.53136</v>
      </c>
      <c r="K353" s="133">
        <f aca="true" t="shared" si="32" ref="K353:P353">46.4*2.83*3.84</f>
        <v>504.23808</v>
      </c>
      <c r="L353" s="133">
        <f t="shared" si="32"/>
        <v>504.23808</v>
      </c>
      <c r="M353" s="131">
        <f t="shared" si="32"/>
        <v>504.23808</v>
      </c>
      <c r="N353" s="131">
        <f t="shared" si="32"/>
        <v>504.23808</v>
      </c>
      <c r="O353" s="131">
        <f t="shared" si="32"/>
        <v>504.23808</v>
      </c>
      <c r="P353" s="131">
        <f t="shared" si="32"/>
        <v>504.23808</v>
      </c>
      <c r="Q353" s="115">
        <f t="shared" si="26"/>
        <v>5806.61664</v>
      </c>
      <c r="R353" s="108"/>
      <c r="S353" s="271"/>
      <c r="U353" s="253"/>
    </row>
    <row r="354" spans="1:21" ht="12.75">
      <c r="A354" s="116">
        <f t="shared" si="25"/>
        <v>348</v>
      </c>
      <c r="B354" s="111" t="s">
        <v>1036</v>
      </c>
      <c r="C354" s="111">
        <v>22463</v>
      </c>
      <c r="D354" s="149" t="s">
        <v>587</v>
      </c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>
        <f t="shared" si="26"/>
        <v>0</v>
      </c>
      <c r="R354" s="108"/>
      <c r="S354" s="270"/>
      <c r="U354" s="253"/>
    </row>
    <row r="355" spans="1:21" ht="12.75">
      <c r="A355" s="116">
        <f t="shared" si="25"/>
        <v>349</v>
      </c>
      <c r="B355" s="111" t="s">
        <v>391</v>
      </c>
      <c r="C355" s="111">
        <v>21421</v>
      </c>
      <c r="D355" s="122">
        <v>2</v>
      </c>
      <c r="E355" s="113">
        <f>ROUND(0.04*521.42,0)*3.53*2</f>
        <v>148.26</v>
      </c>
      <c r="F355" s="114">
        <f>ROUND(0.04*409.08,0)*3.53*2</f>
        <v>112.96</v>
      </c>
      <c r="G355" s="114">
        <f>ROUND(0.04*366.33,0)*3.53*2</f>
        <v>105.89999999999999</v>
      </c>
      <c r="H355" s="114">
        <f>ROUND(0.04*254.17,0)*3.53*2</f>
        <v>70.6</v>
      </c>
      <c r="I355" s="114">
        <f>ROUND(0.04*168.83,0)*3.53*2</f>
        <v>49.419999999999995</v>
      </c>
      <c r="J355" s="114">
        <f>ROUND(0.04*102.5,0)*3.53*2</f>
        <v>28.24</v>
      </c>
      <c r="K355" s="114">
        <f>ROUND(0.04*143.25,0)*3.84*2</f>
        <v>46.08</v>
      </c>
      <c r="L355" s="114">
        <f>(0.04*235.08)*3.84*2</f>
        <v>72.216576</v>
      </c>
      <c r="M355" s="131">
        <f>15.8*2.83*3.84</f>
        <v>171.70176</v>
      </c>
      <c r="N355" s="131">
        <f>15.8*2.83*3.84</f>
        <v>171.70176</v>
      </c>
      <c r="O355" s="131">
        <f>15.8*2.83*3.84</f>
        <v>171.70176</v>
      </c>
      <c r="P355" s="131">
        <f>15.8*2.83*3.84</f>
        <v>171.70176</v>
      </c>
      <c r="Q355" s="115">
        <f t="shared" si="26"/>
        <v>1320.483616</v>
      </c>
      <c r="R355" s="108"/>
      <c r="S355" s="270"/>
      <c r="U355" s="253"/>
    </row>
    <row r="356" spans="1:21" ht="12.75">
      <c r="A356" s="116">
        <f t="shared" si="25"/>
        <v>350</v>
      </c>
      <c r="B356" s="111" t="s">
        <v>1037</v>
      </c>
      <c r="C356" s="111">
        <v>21684</v>
      </c>
      <c r="D356" s="122">
        <v>2</v>
      </c>
      <c r="E356" s="113">
        <f>ROUND(0.04*521.42,0)*3.53*2</f>
        <v>148.26</v>
      </c>
      <c r="F356" s="114">
        <f>ROUND(0.04*409.08,0)*3.53*2</f>
        <v>112.96</v>
      </c>
      <c r="G356" s="114">
        <f>ROUND(0.04*366.33,0)*3.53*2</f>
        <v>105.89999999999999</v>
      </c>
      <c r="H356" s="114">
        <f>ROUND(0.04*254.17,0)*3.53*2</f>
        <v>70.6</v>
      </c>
      <c r="I356" s="114">
        <f>ROUND(0.04*168.83,0)*3.53*2</f>
        <v>49.419999999999995</v>
      </c>
      <c r="J356" s="114">
        <f>ROUND(0.04*102.5,0)*3.53*2</f>
        <v>28.24</v>
      </c>
      <c r="K356" s="114">
        <f>ROUND(0.04*143.25,0)*3.84*2</f>
        <v>46.08</v>
      </c>
      <c r="L356" s="114">
        <f>(0.04*235.08)*3.84*2</f>
        <v>72.216576</v>
      </c>
      <c r="M356" s="240">
        <f>(0.04*314.166)*3.84*2</f>
        <v>96.5117952</v>
      </c>
      <c r="N356" s="260">
        <f>(0.04*430.833)*3.84*2</f>
        <v>132.35189760000003</v>
      </c>
      <c r="O356" s="260"/>
      <c r="P356" s="260"/>
      <c r="Q356" s="115">
        <f t="shared" si="26"/>
        <v>862.5402687999999</v>
      </c>
      <c r="R356" s="108" t="s">
        <v>1379</v>
      </c>
      <c r="S356" s="270"/>
      <c r="U356" s="253"/>
    </row>
    <row r="357" spans="1:21" ht="12.75">
      <c r="A357" s="116">
        <f t="shared" si="25"/>
        <v>351</v>
      </c>
      <c r="B357" s="111" t="s">
        <v>395</v>
      </c>
      <c r="C357" s="111">
        <v>12122</v>
      </c>
      <c r="D357" s="122" t="s">
        <v>584</v>
      </c>
      <c r="E357" s="136"/>
      <c r="F357" s="136"/>
      <c r="G357" s="156">
        <f>ROUND(0.04*366.33,0)*3.53*4</f>
        <v>211.79999999999998</v>
      </c>
      <c r="H357" s="156">
        <f>ROUND(0.04*254.17,0)*3.53*4</f>
        <v>141.2</v>
      </c>
      <c r="I357" s="156">
        <f>ROUND(0.04*168.83,0)*3.53*4</f>
        <v>98.83999999999999</v>
      </c>
      <c r="J357" s="156">
        <v>0</v>
      </c>
      <c r="K357" s="156">
        <v>0</v>
      </c>
      <c r="L357" s="156">
        <v>0</v>
      </c>
      <c r="M357" s="156">
        <v>0</v>
      </c>
      <c r="N357" s="156">
        <v>0</v>
      </c>
      <c r="O357" s="156"/>
      <c r="P357" s="156"/>
      <c r="Q357" s="115">
        <f t="shared" si="26"/>
        <v>451.84</v>
      </c>
      <c r="R357" s="108"/>
      <c r="S357" s="277"/>
      <c r="U357" s="253"/>
    </row>
    <row r="358" spans="1:21" ht="12.75">
      <c r="A358" s="116">
        <f t="shared" si="25"/>
        <v>352</v>
      </c>
      <c r="B358" s="111" t="s">
        <v>1038</v>
      </c>
      <c r="C358" s="111">
        <v>12127</v>
      </c>
      <c r="D358" s="122">
        <v>5</v>
      </c>
      <c r="E358" s="113">
        <f>ROUND(0.04*521.42,0)*3.53*5</f>
        <v>370.65</v>
      </c>
      <c r="F358" s="114">
        <f>ROUND(0.04*409.08,0)*3.53*5</f>
        <v>282.4</v>
      </c>
      <c r="G358" s="114">
        <f>ROUND(0.04*366.33,0)*3.53*5</f>
        <v>264.75</v>
      </c>
      <c r="H358" s="114">
        <f>ROUND(0.04*254.17,0)*3.53*5</f>
        <v>176.5</v>
      </c>
      <c r="I358" s="114">
        <f>ROUND(0.04*168.83,0)*3.53*5</f>
        <v>123.54999999999998</v>
      </c>
      <c r="J358" s="114">
        <f>ROUND(0.04*102.5,0)*3.53*5</f>
        <v>70.6</v>
      </c>
      <c r="K358" s="114">
        <f>ROUND(0.04*143.25,0)*3.84*5</f>
        <v>115.19999999999999</v>
      </c>
      <c r="L358" s="114">
        <f>(0.04*235.08)*3.84*5</f>
        <v>180.54144000000002</v>
      </c>
      <c r="M358" s="114">
        <f>(0.04*314.166)*3.84*5</f>
        <v>241.279488</v>
      </c>
      <c r="N358" s="261">
        <f>(0.04*430.833)*3.84*5</f>
        <v>330.8797440000001</v>
      </c>
      <c r="O358" s="261"/>
      <c r="P358" s="261"/>
      <c r="Q358" s="115">
        <f t="shared" si="26"/>
        <v>2156.3506719999996</v>
      </c>
      <c r="R358" s="108" t="s">
        <v>864</v>
      </c>
      <c r="S358" s="270"/>
      <c r="U358" s="253"/>
    </row>
    <row r="359" spans="1:21" ht="12.75">
      <c r="A359" s="116">
        <f t="shared" si="25"/>
        <v>353</v>
      </c>
      <c r="B359" s="111" t="s">
        <v>684</v>
      </c>
      <c r="C359" s="111">
        <v>21435</v>
      </c>
      <c r="D359" s="230" t="s">
        <v>717</v>
      </c>
      <c r="E359" s="115"/>
      <c r="F359" s="115"/>
      <c r="G359" s="115"/>
      <c r="H359" s="151">
        <v>0</v>
      </c>
      <c r="I359" s="151">
        <v>0</v>
      </c>
      <c r="J359" s="151">
        <v>0</v>
      </c>
      <c r="K359" s="151">
        <v>0</v>
      </c>
      <c r="L359" s="151">
        <v>0</v>
      </c>
      <c r="M359" s="151">
        <v>0</v>
      </c>
      <c r="N359" s="151">
        <v>0</v>
      </c>
      <c r="O359" s="151"/>
      <c r="P359" s="151"/>
      <c r="Q359" s="115">
        <f t="shared" si="26"/>
        <v>0</v>
      </c>
      <c r="R359" s="108"/>
      <c r="S359" s="270"/>
      <c r="U359" s="253"/>
    </row>
    <row r="360" spans="1:21" ht="12.75">
      <c r="A360" s="116">
        <f t="shared" si="25"/>
        <v>354</v>
      </c>
      <c r="B360" s="111" t="s">
        <v>630</v>
      </c>
      <c r="C360" s="111">
        <v>21437</v>
      </c>
      <c r="D360" s="230" t="s">
        <v>717</v>
      </c>
      <c r="E360" s="119"/>
      <c r="F360" s="119"/>
      <c r="G360" s="119"/>
      <c r="H360" s="151">
        <v>0</v>
      </c>
      <c r="I360" s="151">
        <v>0</v>
      </c>
      <c r="J360" s="151">
        <v>0</v>
      </c>
      <c r="K360" s="151">
        <v>0</v>
      </c>
      <c r="L360" s="151">
        <v>0</v>
      </c>
      <c r="M360" s="151">
        <v>0</v>
      </c>
      <c r="N360" s="151">
        <v>0</v>
      </c>
      <c r="O360" s="151"/>
      <c r="P360" s="151"/>
      <c r="Q360" s="115">
        <f t="shared" si="26"/>
        <v>0</v>
      </c>
      <c r="R360" s="108"/>
      <c r="S360" s="270"/>
      <c r="U360" s="253"/>
    </row>
    <row r="361" spans="1:21" ht="12.75">
      <c r="A361" s="116">
        <f t="shared" si="25"/>
        <v>355</v>
      </c>
      <c r="B361" s="111" t="s">
        <v>1039</v>
      </c>
      <c r="C361" s="117">
        <v>21432</v>
      </c>
      <c r="D361" s="128">
        <v>0</v>
      </c>
      <c r="E361" s="113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>
        <f t="shared" si="26"/>
        <v>0</v>
      </c>
      <c r="R361" s="108" t="s">
        <v>283</v>
      </c>
      <c r="S361" s="270"/>
      <c r="U361" s="253"/>
    </row>
    <row r="362" spans="1:21" ht="12.75">
      <c r="A362" s="116">
        <f t="shared" si="25"/>
        <v>356</v>
      </c>
      <c r="B362" s="111" t="s">
        <v>1040</v>
      </c>
      <c r="C362" s="111">
        <v>21433</v>
      </c>
      <c r="D362" s="122">
        <v>6</v>
      </c>
      <c r="E362" s="113">
        <f>ROUND(0.04*521.42,0)*3.53*6</f>
        <v>444.78</v>
      </c>
      <c r="F362" s="114">
        <f>ROUND(0.04*409.08,0)*3.53*6</f>
        <v>338.88</v>
      </c>
      <c r="G362" s="114">
        <f>ROUND(0.04*366.33,0)*3.53*6</f>
        <v>317.7</v>
      </c>
      <c r="H362" s="114">
        <f>ROUND(0.04*254.17,0)*3.53*6</f>
        <v>211.79999999999998</v>
      </c>
      <c r="I362" s="114">
        <f>ROUND(0.04*168.83,0)*3.53*6</f>
        <v>148.26</v>
      </c>
      <c r="J362" s="114">
        <f>ROUND(0.04*102.5,0)*3.53*6</f>
        <v>84.72</v>
      </c>
      <c r="K362" s="114">
        <f>ROUND(0.04*143.25,0)*3.84*6</f>
        <v>138.24</v>
      </c>
      <c r="L362" s="114">
        <f>(0.04*235.08)*3.84*6</f>
        <v>216.649728</v>
      </c>
      <c r="M362" s="114">
        <f>(0.04*314.166)*3.84*6</f>
        <v>289.5353856</v>
      </c>
      <c r="N362" s="261">
        <f>(0.04*430.833)*3.84*6</f>
        <v>397.0556928000001</v>
      </c>
      <c r="O362" s="261"/>
      <c r="P362" s="261"/>
      <c r="Q362" s="115">
        <f t="shared" si="26"/>
        <v>2587.6208064</v>
      </c>
      <c r="R362" s="108" t="s">
        <v>1375</v>
      </c>
      <c r="S362" s="270"/>
      <c r="U362" s="253"/>
    </row>
    <row r="363" spans="1:21" ht="12.75">
      <c r="A363" s="116">
        <f t="shared" si="25"/>
        <v>357</v>
      </c>
      <c r="B363" s="111" t="s">
        <v>1041</v>
      </c>
      <c r="C363" s="117">
        <v>12164</v>
      </c>
      <c r="D363" s="122" t="s">
        <v>585</v>
      </c>
      <c r="E363" s="115">
        <v>2194.33</v>
      </c>
      <c r="F363" s="115">
        <v>1392.72</v>
      </c>
      <c r="G363" s="115">
        <v>1997.69</v>
      </c>
      <c r="H363" s="115">
        <v>1966.57</v>
      </c>
      <c r="I363" s="115">
        <v>0</v>
      </c>
      <c r="J363" s="115">
        <v>0</v>
      </c>
      <c r="K363" s="115">
        <v>0</v>
      </c>
      <c r="L363" s="115">
        <v>0</v>
      </c>
      <c r="M363" s="115">
        <v>1219.92</v>
      </c>
      <c r="N363" s="115">
        <v>713</v>
      </c>
      <c r="O363" s="115">
        <v>1408.52</v>
      </c>
      <c r="P363" s="115">
        <v>2789.9</v>
      </c>
      <c r="Q363" s="115">
        <f t="shared" si="26"/>
        <v>13682.65</v>
      </c>
      <c r="R363" s="108"/>
      <c r="S363" s="270"/>
      <c r="U363" s="253"/>
    </row>
    <row r="364" spans="1:21" ht="12.75">
      <c r="A364" s="116">
        <f t="shared" si="25"/>
        <v>358</v>
      </c>
      <c r="B364" s="111" t="s">
        <v>1042</v>
      </c>
      <c r="C364" s="111">
        <v>12138</v>
      </c>
      <c r="D364" s="122" t="s">
        <v>585</v>
      </c>
      <c r="E364" s="115">
        <v>2852.23</v>
      </c>
      <c r="F364" s="115">
        <v>1698.49</v>
      </c>
      <c r="G364" s="115">
        <v>1124.9299999999998</v>
      </c>
      <c r="H364" s="115">
        <v>1481.58</v>
      </c>
      <c r="I364" s="115">
        <v>777.23</v>
      </c>
      <c r="J364" s="115">
        <v>427.25</v>
      </c>
      <c r="K364" s="115">
        <v>458.39</v>
      </c>
      <c r="L364" s="115">
        <v>645.61</v>
      </c>
      <c r="M364" s="115">
        <v>0</v>
      </c>
      <c r="N364" s="115">
        <v>1836.78</v>
      </c>
      <c r="O364" s="115">
        <v>2336.8</v>
      </c>
      <c r="P364" s="115">
        <v>1773.3</v>
      </c>
      <c r="Q364" s="115">
        <f t="shared" si="26"/>
        <v>15412.59</v>
      </c>
      <c r="R364" s="108"/>
      <c r="S364" s="270"/>
      <c r="U364" s="253"/>
    </row>
    <row r="365" spans="1:21" ht="12.75">
      <c r="A365" s="116">
        <f t="shared" si="25"/>
        <v>359</v>
      </c>
      <c r="B365" s="111" t="s">
        <v>1043</v>
      </c>
      <c r="C365" s="111">
        <v>12139</v>
      </c>
      <c r="D365" s="122" t="s">
        <v>585</v>
      </c>
      <c r="E365" s="115">
        <v>1125.24</v>
      </c>
      <c r="F365" s="115">
        <v>808.46</v>
      </c>
      <c r="G365" s="115">
        <v>714.6</v>
      </c>
      <c r="H365" s="115">
        <v>689.9</v>
      </c>
      <c r="I365" s="115">
        <v>323.6</v>
      </c>
      <c r="J365" s="115">
        <v>560.54</v>
      </c>
      <c r="K365" s="115">
        <v>933.34</v>
      </c>
      <c r="L365" s="115">
        <v>840.42</v>
      </c>
      <c r="M365" s="115">
        <v>553.61</v>
      </c>
      <c r="N365" s="115">
        <v>1486.49</v>
      </c>
      <c r="O365" s="115">
        <v>1606.09</v>
      </c>
      <c r="P365" s="115">
        <v>1043.28</v>
      </c>
      <c r="Q365" s="115">
        <f t="shared" si="26"/>
        <v>10685.57</v>
      </c>
      <c r="R365" s="108"/>
      <c r="S365" s="270"/>
      <c r="U365" s="253"/>
    </row>
    <row r="366" spans="1:21" ht="12.75">
      <c r="A366" s="116">
        <f t="shared" si="25"/>
        <v>360</v>
      </c>
      <c r="B366" s="111" t="s">
        <v>1044</v>
      </c>
      <c r="C366" s="111">
        <v>12143</v>
      </c>
      <c r="D366" s="126" t="s">
        <v>583</v>
      </c>
      <c r="E366" s="115">
        <v>66590.07</v>
      </c>
      <c r="F366" s="115">
        <v>51528</v>
      </c>
      <c r="G366" s="115">
        <v>50190.00000000001</v>
      </c>
      <c r="H366" s="115">
        <v>54660</v>
      </c>
      <c r="I366" s="115">
        <v>38773.2</v>
      </c>
      <c r="J366" s="115">
        <v>43580.4</v>
      </c>
      <c r="K366" s="115">
        <v>43624.8</v>
      </c>
      <c r="L366" s="115">
        <v>43734.4</v>
      </c>
      <c r="M366" s="115">
        <v>46358</v>
      </c>
      <c r="N366" s="115">
        <v>61080.4</v>
      </c>
      <c r="O366" s="115">
        <v>56744</v>
      </c>
      <c r="P366" s="115">
        <v>51735.2</v>
      </c>
      <c r="Q366" s="115">
        <f t="shared" si="26"/>
        <v>608598.47</v>
      </c>
      <c r="R366" s="108"/>
      <c r="S366" s="270"/>
      <c r="U366" s="253"/>
    </row>
    <row r="367" spans="1:21" ht="12.75">
      <c r="A367" s="116">
        <f t="shared" si="25"/>
        <v>361</v>
      </c>
      <c r="B367" s="111" t="s">
        <v>403</v>
      </c>
      <c r="C367" s="111">
        <v>12648</v>
      </c>
      <c r="D367" s="122" t="s">
        <v>584</v>
      </c>
      <c r="E367" s="136"/>
      <c r="F367" s="115"/>
      <c r="G367" s="115"/>
      <c r="H367" s="115"/>
      <c r="I367" s="115"/>
      <c r="J367" s="115"/>
      <c r="K367" s="115"/>
      <c r="L367" s="115"/>
      <c r="M367" s="115"/>
      <c r="N367" s="115"/>
      <c r="O367" s="119"/>
      <c r="P367" s="119"/>
      <c r="Q367" s="115">
        <f t="shared" si="26"/>
        <v>0</v>
      </c>
      <c r="R367" s="124" t="s">
        <v>290</v>
      </c>
      <c r="S367" s="270"/>
      <c r="U367" s="253"/>
    </row>
    <row r="368" spans="1:21" ht="12.75">
      <c r="A368" s="116">
        <f t="shared" si="25"/>
        <v>362</v>
      </c>
      <c r="B368" s="111" t="s">
        <v>1045</v>
      </c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236"/>
      <c r="P368" s="236"/>
      <c r="Q368" s="115">
        <f t="shared" si="26"/>
        <v>0</v>
      </c>
      <c r="R368" s="124" t="s">
        <v>290</v>
      </c>
      <c r="S368" s="270"/>
      <c r="U368" s="253"/>
    </row>
    <row r="369" spans="1:21" ht="12.75">
      <c r="A369" s="116">
        <f t="shared" si="25"/>
        <v>363</v>
      </c>
      <c r="B369" s="111" t="s">
        <v>685</v>
      </c>
      <c r="C369" s="125">
        <v>12647</v>
      </c>
      <c r="D369" s="122" t="s">
        <v>717</v>
      </c>
      <c r="E369" s="113"/>
      <c r="F369" s="115"/>
      <c r="G369" s="115"/>
      <c r="H369" s="115"/>
      <c r="I369" s="115"/>
      <c r="J369" s="115"/>
      <c r="K369" s="115"/>
      <c r="L369" s="115"/>
      <c r="M369" s="115"/>
      <c r="N369" s="115"/>
      <c r="O369" s="119"/>
      <c r="P369" s="119"/>
      <c r="Q369" s="115">
        <f t="shared" si="26"/>
        <v>0</v>
      </c>
      <c r="R369" s="124" t="s">
        <v>716</v>
      </c>
      <c r="S369" s="270"/>
      <c r="U369" s="253"/>
    </row>
    <row r="370" spans="1:21" ht="12.75">
      <c r="A370" s="116">
        <f t="shared" si="25"/>
        <v>364</v>
      </c>
      <c r="B370" s="111" t="s">
        <v>1046</v>
      </c>
      <c r="C370" s="111">
        <v>21831</v>
      </c>
      <c r="D370" s="132" t="s">
        <v>710</v>
      </c>
      <c r="E370" s="115">
        <v>617.09</v>
      </c>
      <c r="F370" s="115">
        <v>617.09</v>
      </c>
      <c r="G370" s="115">
        <v>504.17</v>
      </c>
      <c r="H370" s="115">
        <v>467.94</v>
      </c>
      <c r="I370" s="115">
        <v>6123.73</v>
      </c>
      <c r="J370" s="115">
        <v>185.58</v>
      </c>
      <c r="K370" s="115">
        <v>6876.54</v>
      </c>
      <c r="L370" s="115">
        <v>202.86</v>
      </c>
      <c r="M370" s="115"/>
      <c r="N370" s="115">
        <v>0</v>
      </c>
      <c r="O370" s="115">
        <v>562.12</v>
      </c>
      <c r="P370" s="115">
        <v>675.05</v>
      </c>
      <c r="Q370" s="115">
        <f t="shared" si="26"/>
        <v>16832.170000000002</v>
      </c>
      <c r="R370" s="108"/>
      <c r="S370" s="270"/>
      <c r="U370" s="253"/>
    </row>
    <row r="371" spans="1:21" ht="12.75">
      <c r="A371" s="116">
        <f t="shared" si="25"/>
        <v>365</v>
      </c>
      <c r="B371" s="111" t="s">
        <v>1047</v>
      </c>
      <c r="C371" s="111">
        <v>10021</v>
      </c>
      <c r="D371" s="132" t="s">
        <v>1048</v>
      </c>
      <c r="E371" s="115">
        <v>4764.1</v>
      </c>
      <c r="F371" s="115">
        <v>4525.57</v>
      </c>
      <c r="G371" s="125">
        <v>4336.6900000000005</v>
      </c>
      <c r="H371" s="125">
        <v>4049.14</v>
      </c>
      <c r="I371" s="125">
        <v>4466.39</v>
      </c>
      <c r="J371" s="125">
        <v>5724.09</v>
      </c>
      <c r="K371" s="125">
        <v>4203.25</v>
      </c>
      <c r="L371" s="125">
        <v>3955.08</v>
      </c>
      <c r="M371" s="125">
        <v>6100.75</v>
      </c>
      <c r="N371" s="125">
        <v>6649.99</v>
      </c>
      <c r="O371" s="125">
        <v>3995.1</v>
      </c>
      <c r="P371" s="125">
        <v>5061.15</v>
      </c>
      <c r="Q371" s="115">
        <f t="shared" si="26"/>
        <v>57831.299999999996</v>
      </c>
      <c r="S371" s="270"/>
      <c r="U371" s="253"/>
    </row>
    <row r="372" spans="1:21" ht="12.75">
      <c r="A372" s="116">
        <f t="shared" si="25"/>
        <v>366</v>
      </c>
      <c r="B372" s="111" t="s">
        <v>1049</v>
      </c>
      <c r="C372" s="111">
        <v>12275</v>
      </c>
      <c r="D372" s="122">
        <v>6</v>
      </c>
      <c r="E372" s="113">
        <f>ROUND(0.04*521.42,0)*3.53*6</f>
        <v>444.78</v>
      </c>
      <c r="F372" s="114">
        <f>ROUND(0.04*409.08,0)*3.53*6</f>
        <v>338.88</v>
      </c>
      <c r="G372" s="114">
        <f>ROUND(0.04*366.33,0)*3.53*6</f>
        <v>317.7</v>
      </c>
      <c r="H372" s="114">
        <f>ROUND(0.04*254.17,0)*3.53*6</f>
        <v>211.79999999999998</v>
      </c>
      <c r="I372" s="114">
        <f>ROUND(0.04*168.83,0)*3.53*6</f>
        <v>148.26</v>
      </c>
      <c r="J372" s="114">
        <f>ROUND(0.04*102.5,0)*3.53*6</f>
        <v>84.72</v>
      </c>
      <c r="K372" s="114">
        <f>ROUND(0.04*143.25,0)*3.84*6</f>
        <v>138.24</v>
      </c>
      <c r="L372" s="114">
        <f>(0.04*235.08)*3.84*6</f>
        <v>216.649728</v>
      </c>
      <c r="M372" s="131">
        <f>22.4*2.83*3.84</f>
        <v>243.42528</v>
      </c>
      <c r="N372" s="131">
        <f>22.4*2.83*3.84</f>
        <v>243.42528</v>
      </c>
      <c r="O372" s="131">
        <f>22.4*2.83*3.84</f>
        <v>243.42528</v>
      </c>
      <c r="P372" s="131">
        <f>22.4*2.83*3.84</f>
        <v>243.42528</v>
      </c>
      <c r="Q372" s="115">
        <f t="shared" si="26"/>
        <v>2874.7308479999997</v>
      </c>
      <c r="R372" s="108"/>
      <c r="S372" s="271"/>
      <c r="U372" s="253"/>
    </row>
    <row r="373" spans="1:21" ht="12.75">
      <c r="A373" s="116">
        <f t="shared" si="25"/>
        <v>367</v>
      </c>
      <c r="B373" s="111" t="s">
        <v>1050</v>
      </c>
      <c r="C373" s="111">
        <v>12284</v>
      </c>
      <c r="D373" s="122">
        <v>10</v>
      </c>
      <c r="E373" s="113">
        <f>ROUND(0.04*521.42,0)*3.53*10</f>
        <v>741.3</v>
      </c>
      <c r="F373" s="114">
        <f>ROUND(0.04*409.08,0)*3.53*10</f>
        <v>564.8</v>
      </c>
      <c r="G373" s="114">
        <f>ROUND(0.04*366.33,0)*3.53*10</f>
        <v>529.5</v>
      </c>
      <c r="H373" s="114">
        <f>ROUND(0.04*254.17,0)*3.53*10</f>
        <v>353</v>
      </c>
      <c r="I373" s="114">
        <f>ROUND(0.04*168.83,0)*3.53*10</f>
        <v>247.09999999999997</v>
      </c>
      <c r="J373" s="114">
        <f>ROUND(0.04*102.5,0)*3.53*10</f>
        <v>141.2</v>
      </c>
      <c r="K373" s="114">
        <f>ROUND(0.04*143.25,0)*3.84*10</f>
        <v>230.39999999999998</v>
      </c>
      <c r="L373" s="114">
        <f>(0.04*235.08)*3.84*10</f>
        <v>361.08288000000005</v>
      </c>
      <c r="M373" s="114">
        <f>(0.04*314.166)*3.84*10</f>
        <v>482.558976</v>
      </c>
      <c r="N373" s="261">
        <f>(0.04*430.833)*3.84*10</f>
        <v>661.7594880000001</v>
      </c>
      <c r="O373" s="261"/>
      <c r="P373" s="261"/>
      <c r="Q373" s="115">
        <f t="shared" si="26"/>
        <v>4312.701343999999</v>
      </c>
      <c r="R373" s="108"/>
      <c r="S373" s="270"/>
      <c r="U373" s="253"/>
    </row>
    <row r="374" spans="1:21" ht="12.75">
      <c r="A374" s="116">
        <f t="shared" si="25"/>
        <v>368</v>
      </c>
      <c r="B374" s="111" t="s">
        <v>1051</v>
      </c>
      <c r="C374" s="111">
        <v>12285</v>
      </c>
      <c r="D374" s="122">
        <v>9</v>
      </c>
      <c r="E374" s="113">
        <f>ROUND(0.04*521.42,0)*3.53*9</f>
        <v>667.17</v>
      </c>
      <c r="F374" s="114">
        <f>ROUND(0.04*409.08,0)*3.53*9</f>
        <v>508.32</v>
      </c>
      <c r="G374" s="114">
        <f>ROUND(0.04*366.33,0)*3.53*9</f>
        <v>476.54999999999995</v>
      </c>
      <c r="H374" s="114">
        <f>ROUND(0.04*254.17,0)*3.53*9</f>
        <v>317.7</v>
      </c>
      <c r="I374" s="114">
        <f>ROUND(0.04*168.83,0)*3.53*9</f>
        <v>222.39</v>
      </c>
      <c r="J374" s="114">
        <f>ROUND(0.04*102.5,0)*3.53*9</f>
        <v>127.08</v>
      </c>
      <c r="K374" s="114">
        <f>ROUND(0.04*143.25,0)*3.84*9</f>
        <v>207.35999999999999</v>
      </c>
      <c r="L374" s="114">
        <f>(0.04*235.08)*3.84*9</f>
        <v>324.97459200000003</v>
      </c>
      <c r="M374" s="114">
        <f>(0.04*314.166)*3.84*9</f>
        <v>434.3030784</v>
      </c>
      <c r="N374" s="261">
        <f>(0.04*430.833)*3.84*9</f>
        <v>595.5835392000001</v>
      </c>
      <c r="O374" s="261"/>
      <c r="P374" s="261"/>
      <c r="Q374" s="115">
        <f t="shared" si="26"/>
        <v>3881.4312096000003</v>
      </c>
      <c r="R374" s="108"/>
      <c r="S374" s="270"/>
      <c r="U374" s="253"/>
    </row>
    <row r="375" spans="1:21" ht="12.75">
      <c r="A375" s="116">
        <f t="shared" si="25"/>
        <v>369</v>
      </c>
      <c r="B375" s="111" t="s">
        <v>1052</v>
      </c>
      <c r="C375" s="111">
        <v>12276</v>
      </c>
      <c r="D375" s="132" t="s">
        <v>585</v>
      </c>
      <c r="E375" s="115">
        <v>634.11</v>
      </c>
      <c r="F375" s="115">
        <v>618.4</v>
      </c>
      <c r="G375" s="115">
        <v>563.1099999999999</v>
      </c>
      <c r="H375" s="115">
        <v>499.01</v>
      </c>
      <c r="I375" s="115">
        <v>272.24</v>
      </c>
      <c r="J375" s="115">
        <v>113.7</v>
      </c>
      <c r="K375" s="115">
        <v>93.61</v>
      </c>
      <c r="L375" s="115">
        <v>172.96</v>
      </c>
      <c r="M375" s="115">
        <v>175.03</v>
      </c>
      <c r="N375" s="115">
        <v>218.5</v>
      </c>
      <c r="O375" s="115">
        <v>359.95</v>
      </c>
      <c r="P375" s="115">
        <v>416.99</v>
      </c>
      <c r="Q375" s="115">
        <f t="shared" si="26"/>
        <v>4137.61</v>
      </c>
      <c r="R375" s="108"/>
      <c r="S375" s="270"/>
      <c r="U375" s="253"/>
    </row>
    <row r="376" spans="1:21" ht="12.75">
      <c r="A376" s="116">
        <f t="shared" si="25"/>
        <v>370</v>
      </c>
      <c r="B376" s="111" t="s">
        <v>1053</v>
      </c>
      <c r="C376" s="111">
        <v>12277</v>
      </c>
      <c r="D376" s="132" t="s">
        <v>585</v>
      </c>
      <c r="E376" s="115">
        <v>325.74</v>
      </c>
      <c r="F376" s="115">
        <v>227.65</v>
      </c>
      <c r="G376" s="115">
        <v>194.97</v>
      </c>
      <c r="H376" s="115">
        <v>168.03</v>
      </c>
      <c r="I376" s="115">
        <v>54.81</v>
      </c>
      <c r="J376" s="115">
        <v>17.07</v>
      </c>
      <c r="K376" s="115">
        <v>42.78</v>
      </c>
      <c r="L376" s="115">
        <v>0</v>
      </c>
      <c r="M376" s="115">
        <v>40.25</v>
      </c>
      <c r="N376" s="115">
        <v>136.39</v>
      </c>
      <c r="O376" s="115">
        <v>166.52</v>
      </c>
      <c r="P376" s="115">
        <v>209.99</v>
      </c>
      <c r="Q376" s="115">
        <f t="shared" si="26"/>
        <v>1584.2</v>
      </c>
      <c r="R376" s="108"/>
      <c r="S376" s="270"/>
      <c r="U376" s="253"/>
    </row>
    <row r="377" spans="1:21" ht="12.75">
      <c r="A377" s="116">
        <f t="shared" si="25"/>
        <v>371</v>
      </c>
      <c r="B377" s="111" t="s">
        <v>1054</v>
      </c>
      <c r="C377" s="111">
        <v>12278</v>
      </c>
      <c r="D377" s="122">
        <v>2</v>
      </c>
      <c r="E377" s="113">
        <f>ROUND(0.04*521.42,0)*3.53*2</f>
        <v>148.26</v>
      </c>
      <c r="F377" s="114">
        <f>ROUND(0.04*409.08,0)*3.53*2</f>
        <v>112.96</v>
      </c>
      <c r="G377" s="114">
        <f>ROUND(0.04*366.33,0)*3.53*2</f>
        <v>105.89999999999999</v>
      </c>
      <c r="H377" s="114">
        <f>ROUND(0.04*254.17,0)*3.53*2</f>
        <v>70.6</v>
      </c>
      <c r="I377" s="114">
        <f>ROUND(0.04*168.83,0)*3.53*2</f>
        <v>49.419999999999995</v>
      </c>
      <c r="J377" s="114">
        <f>ROUND(0.04*102.5,0)*3.53*2</f>
        <v>28.24</v>
      </c>
      <c r="K377" s="114">
        <f>ROUND(0.04*143.25,0)*3.84*2</f>
        <v>46.08</v>
      </c>
      <c r="L377" s="114">
        <f>(0.04*235.08)*3.84*2</f>
        <v>72.216576</v>
      </c>
      <c r="M377" s="240">
        <f>(0.04*314.166)*3.84*2</f>
        <v>96.5117952</v>
      </c>
      <c r="N377" s="260">
        <f>(0.04*430.833)*3.84*2</f>
        <v>132.35189760000003</v>
      </c>
      <c r="O377" s="260"/>
      <c r="P377" s="260"/>
      <c r="Q377" s="115">
        <f t="shared" si="26"/>
        <v>862.5402687999999</v>
      </c>
      <c r="R377" s="108"/>
      <c r="S377" s="270"/>
      <c r="U377" s="253"/>
    </row>
    <row r="378" spans="1:21" ht="12.75">
      <c r="A378" s="116">
        <f t="shared" si="25"/>
        <v>372</v>
      </c>
      <c r="B378" s="111" t="s">
        <v>1055</v>
      </c>
      <c r="C378" s="111">
        <v>12279</v>
      </c>
      <c r="D378" s="122">
        <v>9</v>
      </c>
      <c r="E378" s="113">
        <f>ROUND(0.04*521.42,0)*3.53*9</f>
        <v>667.17</v>
      </c>
      <c r="F378" s="114">
        <f>ROUND(0.04*409.08,0)*3.53*9</f>
        <v>508.32</v>
      </c>
      <c r="G378" s="114">
        <f>ROUND(0.04*366.33,0)*3.53*9</f>
        <v>476.54999999999995</v>
      </c>
      <c r="H378" s="114">
        <f>ROUND(0.04*254.17,0)*3.53*9</f>
        <v>317.7</v>
      </c>
      <c r="I378" s="114">
        <f>ROUND(0.04*168.83,0)*3.53*9</f>
        <v>222.39</v>
      </c>
      <c r="J378" s="114">
        <f>ROUND(0.04*102.5,0)*3.53*9</f>
        <v>127.08</v>
      </c>
      <c r="K378" s="114">
        <f>ROUND(0.04*143.25,0)*3.84*9</f>
        <v>207.35999999999999</v>
      </c>
      <c r="L378" s="114">
        <f>(0.04*235.08)*3.84*9</f>
        <v>324.97459200000003</v>
      </c>
      <c r="M378" s="114">
        <f>(0.04*314.166)*3.84*9</f>
        <v>434.3030784</v>
      </c>
      <c r="N378" s="261">
        <f>(0.04*430.833)*3.84*9</f>
        <v>595.5835392000001</v>
      </c>
      <c r="O378" s="261"/>
      <c r="P378" s="261"/>
      <c r="Q378" s="115">
        <f t="shared" si="26"/>
        <v>3881.4312096000003</v>
      </c>
      <c r="R378" s="108"/>
      <c r="S378" s="270"/>
      <c r="U378" s="253"/>
    </row>
    <row r="379" spans="1:21" ht="12.75">
      <c r="A379" s="116">
        <f t="shared" si="25"/>
        <v>373</v>
      </c>
      <c r="B379" s="111" t="s">
        <v>1056</v>
      </c>
      <c r="C379" s="111">
        <v>12280</v>
      </c>
      <c r="D379" s="122">
        <v>8</v>
      </c>
      <c r="E379" s="113">
        <f>ROUND(0.04*521.42,0)*3.53*8</f>
        <v>593.04</v>
      </c>
      <c r="F379" s="114">
        <f>ROUND(0.04*409.08,0)*3.53*8</f>
        <v>451.84</v>
      </c>
      <c r="G379" s="114">
        <f>ROUND(0.04*366.33,0)*3.53*8</f>
        <v>423.59999999999997</v>
      </c>
      <c r="H379" s="114">
        <f>ROUND(0.04*254.17,0)*3.53*8</f>
        <v>282.4</v>
      </c>
      <c r="I379" s="114">
        <f>ROUND(0.04*168.83,0)*3.53*8</f>
        <v>197.67999999999998</v>
      </c>
      <c r="J379" s="114">
        <f>ROUND(0.04*102.5,0)*3.53*8</f>
        <v>112.96</v>
      </c>
      <c r="K379" s="114">
        <f>ROUND(0.04*143.25,0)*3.84*8</f>
        <v>184.32</v>
      </c>
      <c r="L379" s="114">
        <f>(0.04*235.08)*3.84*8</f>
        <v>288.866304</v>
      </c>
      <c r="M379" s="114">
        <f>(0.04*314.166)*3.84*8</f>
        <v>386.0471808</v>
      </c>
      <c r="N379" s="261">
        <f>(0.04*430.833)*3.84*8</f>
        <v>529.4075904000001</v>
      </c>
      <c r="O379" s="261"/>
      <c r="P379" s="261"/>
      <c r="Q379" s="115">
        <f t="shared" si="26"/>
        <v>3450.1610751999997</v>
      </c>
      <c r="R379" s="108"/>
      <c r="S379" s="270"/>
      <c r="U379" s="253"/>
    </row>
    <row r="380" spans="1:21" ht="12.75">
      <c r="A380" s="116">
        <f t="shared" si="25"/>
        <v>374</v>
      </c>
      <c r="B380" s="111" t="s">
        <v>1057</v>
      </c>
      <c r="C380" s="111">
        <v>12281</v>
      </c>
      <c r="D380" s="122">
        <v>9</v>
      </c>
      <c r="E380" s="113">
        <f>ROUND(0.04*521.42,0)*3.53*9</f>
        <v>667.17</v>
      </c>
      <c r="F380" s="114">
        <f>ROUND(0.04*409.08,0)*3.53*9</f>
        <v>508.32</v>
      </c>
      <c r="G380" s="114">
        <f>ROUND(0.04*366.33,0)*3.53*9</f>
        <v>476.54999999999995</v>
      </c>
      <c r="H380" s="114">
        <f>ROUND(0.04*254.17,0)*3.53*9</f>
        <v>317.7</v>
      </c>
      <c r="I380" s="114">
        <f>ROUND(0.04*168.83,0)*3.53*9</f>
        <v>222.39</v>
      </c>
      <c r="J380" s="114">
        <f>ROUND(0.04*102.5,0)*3.53*9</f>
        <v>127.08</v>
      </c>
      <c r="K380" s="114">
        <f>ROUND(0.04*143.25,0)*3.84*9</f>
        <v>207.35999999999999</v>
      </c>
      <c r="L380" s="114">
        <f>(0.04*235.08)*3.84*9</f>
        <v>324.97459200000003</v>
      </c>
      <c r="M380" s="114">
        <f>(0.04*314.166)*3.84*9</f>
        <v>434.3030784</v>
      </c>
      <c r="N380" s="261">
        <f>(0.04*430.833)*3.84*9</f>
        <v>595.5835392000001</v>
      </c>
      <c r="O380" s="261"/>
      <c r="P380" s="261"/>
      <c r="Q380" s="115">
        <f t="shared" si="26"/>
        <v>3881.4312096000003</v>
      </c>
      <c r="R380" s="108"/>
      <c r="S380" s="270"/>
      <c r="U380" s="253"/>
    </row>
    <row r="381" spans="1:21" ht="12.75">
      <c r="A381" s="116">
        <f t="shared" si="25"/>
        <v>375</v>
      </c>
      <c r="B381" s="111" t="s">
        <v>686</v>
      </c>
      <c r="C381" s="121">
        <v>12282</v>
      </c>
      <c r="D381" s="122" t="s">
        <v>717</v>
      </c>
      <c r="E381" s="115"/>
      <c r="F381" s="115"/>
      <c r="G381" s="115"/>
      <c r="H381" s="115"/>
      <c r="I381" s="115"/>
      <c r="J381" s="115"/>
      <c r="K381" s="115"/>
      <c r="L381" s="115"/>
      <c r="M381" s="115"/>
      <c r="N381" s="119"/>
      <c r="O381" s="119"/>
      <c r="P381" s="119"/>
      <c r="Q381" s="115">
        <f t="shared" si="26"/>
        <v>0</v>
      </c>
      <c r="R381" s="162" t="s">
        <v>716</v>
      </c>
      <c r="S381" s="270"/>
      <c r="U381" s="253"/>
    </row>
    <row r="382" spans="1:21" ht="12.75">
      <c r="A382" s="116">
        <f t="shared" si="25"/>
        <v>376</v>
      </c>
      <c r="B382" s="111" t="s">
        <v>1058</v>
      </c>
      <c r="C382" s="111">
        <v>12283</v>
      </c>
      <c r="D382" s="122">
        <v>10</v>
      </c>
      <c r="E382" s="113">
        <f>ROUND(0.04*521.42,0)*3.53*10</f>
        <v>741.3</v>
      </c>
      <c r="F382" s="114">
        <f>ROUND(0.04*409.08,0)*3.53*10</f>
        <v>564.8</v>
      </c>
      <c r="G382" s="114">
        <f>ROUND(0.04*366.33,0)*3.53*10</f>
        <v>529.5</v>
      </c>
      <c r="H382" s="114">
        <f>ROUND(0.04*254.17,0)*3.53*10</f>
        <v>353</v>
      </c>
      <c r="I382" s="114">
        <f>ROUND(0.04*168.83,0)*3.53*10</f>
        <v>247.09999999999997</v>
      </c>
      <c r="J382" s="114">
        <f>ROUND(0.04*102.5,0)*3.53*10</f>
        <v>141.2</v>
      </c>
      <c r="K382" s="114">
        <f>ROUND(0.04*143.25,0)*3.84*10</f>
        <v>230.39999999999998</v>
      </c>
      <c r="L382" s="114">
        <f>(0.04*235.08)*3.84*10</f>
        <v>361.08288000000005</v>
      </c>
      <c r="M382" s="114">
        <f>(0.04*314.166)*3.84*10</f>
        <v>482.558976</v>
      </c>
      <c r="N382" s="261">
        <f>(0.04*430.833)*3.84*10</f>
        <v>661.7594880000001</v>
      </c>
      <c r="O382" s="261"/>
      <c r="P382" s="261"/>
      <c r="Q382" s="115">
        <f t="shared" si="26"/>
        <v>4312.701343999999</v>
      </c>
      <c r="R382" s="108"/>
      <c r="S382" s="270"/>
      <c r="U382" s="253"/>
    </row>
    <row r="383" spans="1:21" ht="12.75">
      <c r="A383" s="116">
        <f t="shared" si="25"/>
        <v>377</v>
      </c>
      <c r="B383" s="111" t="s">
        <v>1059</v>
      </c>
      <c r="C383" s="117">
        <v>21444</v>
      </c>
      <c r="D383" s="128">
        <v>3</v>
      </c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>
        <f t="shared" si="26"/>
        <v>0</v>
      </c>
      <c r="R383" s="124" t="s">
        <v>1060</v>
      </c>
      <c r="S383" s="270"/>
      <c r="U383" s="253"/>
    </row>
    <row r="384" spans="1:21" ht="12.75">
      <c r="A384" s="116">
        <f t="shared" si="25"/>
        <v>378</v>
      </c>
      <c r="B384" s="111" t="s">
        <v>1061</v>
      </c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15">
        <f t="shared" si="26"/>
        <v>0</v>
      </c>
      <c r="S384" s="270"/>
      <c r="U384" s="253"/>
    </row>
    <row r="385" spans="1:21" ht="12.75">
      <c r="A385" s="116">
        <f t="shared" si="25"/>
        <v>379</v>
      </c>
      <c r="B385" s="111" t="s">
        <v>1062</v>
      </c>
      <c r="C385" s="117">
        <v>23648</v>
      </c>
      <c r="D385" s="126" t="s">
        <v>583</v>
      </c>
      <c r="E385" s="115"/>
      <c r="F385" s="115"/>
      <c r="G385" s="115"/>
      <c r="H385" s="115"/>
      <c r="I385" s="115"/>
      <c r="J385" s="115"/>
      <c r="K385" s="115"/>
      <c r="L385" s="115"/>
      <c r="M385" s="115"/>
      <c r="N385" s="119"/>
      <c r="O385" s="119"/>
      <c r="P385" s="119"/>
      <c r="Q385" s="115">
        <f t="shared" si="26"/>
        <v>0</v>
      </c>
      <c r="R385" s="108" t="s">
        <v>291</v>
      </c>
      <c r="S385" s="270"/>
      <c r="U385" s="253"/>
    </row>
    <row r="386" spans="1:21" ht="12.75">
      <c r="A386" s="116">
        <f t="shared" si="25"/>
        <v>380</v>
      </c>
      <c r="B386" s="111" t="s">
        <v>687</v>
      </c>
      <c r="C386" s="121">
        <v>23653</v>
      </c>
      <c r="D386" s="122" t="s">
        <v>717</v>
      </c>
      <c r="E386" s="151">
        <v>0</v>
      </c>
      <c r="F386" s="151">
        <v>0</v>
      </c>
      <c r="G386" s="151">
        <v>0</v>
      </c>
      <c r="H386" s="151">
        <v>0</v>
      </c>
      <c r="I386" s="151">
        <v>0</v>
      </c>
      <c r="J386" s="151"/>
      <c r="K386" s="151"/>
      <c r="L386" s="151"/>
      <c r="M386" s="151"/>
      <c r="N386" s="231"/>
      <c r="O386" s="231"/>
      <c r="P386" s="231"/>
      <c r="Q386" s="115">
        <f t="shared" si="26"/>
        <v>0</v>
      </c>
      <c r="R386" s="108" t="s">
        <v>292</v>
      </c>
      <c r="S386" s="270"/>
      <c r="U386" s="253"/>
    </row>
    <row r="387" spans="1:21" ht="12.75">
      <c r="A387" s="116">
        <f t="shared" si="25"/>
        <v>381</v>
      </c>
      <c r="B387" s="111" t="s">
        <v>1063</v>
      </c>
      <c r="C387" s="117">
        <v>23020</v>
      </c>
      <c r="D387" s="128">
        <v>4</v>
      </c>
      <c r="E387" s="119">
        <f>ROUND(0.04*521.42,0)*3.53*4</f>
        <v>296.52</v>
      </c>
      <c r="F387" s="119">
        <f>ROUND(0.04*409.08,0)*3.53*4</f>
        <v>225.92</v>
      </c>
      <c r="G387" s="119">
        <f>ROUND(0.04*366.33,0)*3.53*4</f>
        <v>211.79999999999998</v>
      </c>
      <c r="H387" s="119">
        <f>ROUND(0.04*254.17,0)*3.53*4</f>
        <v>141.2</v>
      </c>
      <c r="I387" s="119">
        <f>ROUND(0.04*168.83,0)*3.53*4</f>
        <v>98.83999999999999</v>
      </c>
      <c r="J387" s="119">
        <v>0</v>
      </c>
      <c r="K387" s="119">
        <v>0</v>
      </c>
      <c r="L387" s="119">
        <v>0</v>
      </c>
      <c r="M387" s="119">
        <v>0</v>
      </c>
      <c r="N387" s="119">
        <v>0</v>
      </c>
      <c r="O387" s="119">
        <v>0</v>
      </c>
      <c r="P387" s="119"/>
      <c r="Q387" s="119">
        <f t="shared" si="26"/>
        <v>974.2799999999999</v>
      </c>
      <c r="R387" s="108" t="s">
        <v>1064</v>
      </c>
      <c r="S387" s="270"/>
      <c r="U387" s="253"/>
    </row>
    <row r="388" spans="1:21" ht="12.75">
      <c r="A388" s="116">
        <f t="shared" si="25"/>
        <v>382</v>
      </c>
      <c r="B388" s="111" t="s">
        <v>1065</v>
      </c>
      <c r="C388" s="111">
        <v>23010</v>
      </c>
      <c r="D388" s="122" t="s">
        <v>585</v>
      </c>
      <c r="E388" s="115">
        <v>1198.05</v>
      </c>
      <c r="F388" s="115">
        <v>1199.05</v>
      </c>
      <c r="G388" s="115">
        <v>2147.8</v>
      </c>
      <c r="H388" s="115">
        <v>0</v>
      </c>
      <c r="I388" s="115">
        <v>0</v>
      </c>
      <c r="J388" s="115">
        <v>179.76</v>
      </c>
      <c r="K388" s="115">
        <v>39.1</v>
      </c>
      <c r="L388" s="115">
        <v>347.3</v>
      </c>
      <c r="M388" s="115">
        <v>287.5</v>
      </c>
      <c r="N388" s="115">
        <v>285.2</v>
      </c>
      <c r="O388" s="115">
        <v>893.09</v>
      </c>
      <c r="P388" s="115">
        <v>1517.08</v>
      </c>
      <c r="Q388" s="115">
        <f t="shared" si="26"/>
        <v>8093.93</v>
      </c>
      <c r="R388" s="108"/>
      <c r="S388" s="270"/>
      <c r="U388" s="253"/>
    </row>
    <row r="389" spans="1:21" ht="12.75">
      <c r="A389" s="116">
        <f t="shared" si="25"/>
        <v>383</v>
      </c>
      <c r="B389" s="111" t="s">
        <v>1066</v>
      </c>
      <c r="C389" s="111">
        <v>23013</v>
      </c>
      <c r="D389" s="122" t="s">
        <v>585</v>
      </c>
      <c r="E389" s="115">
        <v>1990.12</v>
      </c>
      <c r="F389" s="115">
        <v>1533.28</v>
      </c>
      <c r="G389" s="115">
        <v>1265.62</v>
      </c>
      <c r="H389" s="115">
        <v>857.02</v>
      </c>
      <c r="I389" s="115">
        <v>625.24</v>
      </c>
      <c r="J389" s="115">
        <v>543.64</v>
      </c>
      <c r="K389" s="115">
        <v>570.86</v>
      </c>
      <c r="L389" s="115">
        <v>464.14</v>
      </c>
      <c r="M389" s="115">
        <v>989.46</v>
      </c>
      <c r="N389" s="115">
        <v>1005.56</v>
      </c>
      <c r="O389" s="115">
        <v>1257.41</v>
      </c>
      <c r="P389" s="115">
        <v>1215.55</v>
      </c>
      <c r="Q389" s="115">
        <f t="shared" si="26"/>
        <v>12317.899999999998</v>
      </c>
      <c r="R389" s="108"/>
      <c r="S389" s="270"/>
      <c r="U389" s="253"/>
    </row>
    <row r="390" spans="1:21" ht="12.75">
      <c r="A390" s="116">
        <f t="shared" si="25"/>
        <v>384</v>
      </c>
      <c r="B390" s="111" t="s">
        <v>1067</v>
      </c>
      <c r="C390" s="111">
        <v>23001</v>
      </c>
      <c r="D390" s="122" t="s">
        <v>585</v>
      </c>
      <c r="E390" s="115">
        <v>706.09</v>
      </c>
      <c r="F390" s="115">
        <v>455.88</v>
      </c>
      <c r="G390" s="115">
        <v>370.63</v>
      </c>
      <c r="H390" s="115">
        <v>269.72</v>
      </c>
      <c r="I390" s="115">
        <v>368.59</v>
      </c>
      <c r="J390" s="115">
        <v>306.2</v>
      </c>
      <c r="K390" s="115">
        <v>272.09</v>
      </c>
      <c r="L390" s="115">
        <v>257.6</v>
      </c>
      <c r="M390" s="115">
        <v>470.81</v>
      </c>
      <c r="N390" s="115">
        <v>639.4</v>
      </c>
      <c r="O390" s="115">
        <v>596.39</v>
      </c>
      <c r="P390" s="115">
        <v>605.36</v>
      </c>
      <c r="Q390" s="115">
        <f t="shared" si="26"/>
        <v>5318.759999999999</v>
      </c>
      <c r="R390" s="108"/>
      <c r="S390" s="270"/>
      <c r="U390" s="253"/>
    </row>
    <row r="391" spans="1:21" ht="12.75">
      <c r="A391" s="116">
        <f t="shared" si="25"/>
        <v>385</v>
      </c>
      <c r="B391" s="111" t="s">
        <v>1068</v>
      </c>
      <c r="C391" s="111">
        <v>23002</v>
      </c>
      <c r="D391" s="122" t="s">
        <v>585</v>
      </c>
      <c r="E391" s="115">
        <v>1039.89</v>
      </c>
      <c r="F391" s="115">
        <v>946.08</v>
      </c>
      <c r="G391" s="115">
        <v>651.8599999999999</v>
      </c>
      <c r="H391" s="115">
        <v>690.38</v>
      </c>
      <c r="I391" s="115">
        <v>615.05</v>
      </c>
      <c r="J391" s="115">
        <v>520.36</v>
      </c>
      <c r="K391" s="115">
        <v>680.34</v>
      </c>
      <c r="L391" s="115">
        <v>760.61</v>
      </c>
      <c r="M391" s="115">
        <v>775.33</v>
      </c>
      <c r="N391" s="115">
        <v>927.82</v>
      </c>
      <c r="O391" s="115">
        <v>928.97</v>
      </c>
      <c r="P391" s="115">
        <v>1200.83</v>
      </c>
      <c r="Q391" s="115">
        <f t="shared" si="26"/>
        <v>9737.519999999999</v>
      </c>
      <c r="R391" s="108"/>
      <c r="S391" s="270"/>
      <c r="U391" s="253"/>
    </row>
    <row r="392" spans="1:21" ht="12.75">
      <c r="A392" s="116">
        <f t="shared" si="25"/>
        <v>386</v>
      </c>
      <c r="B392" s="111" t="s">
        <v>1069</v>
      </c>
      <c r="C392" s="111">
        <v>23003</v>
      </c>
      <c r="D392" s="122" t="s">
        <v>585</v>
      </c>
      <c r="E392" s="115">
        <v>950.56</v>
      </c>
      <c r="F392" s="115">
        <v>691.16</v>
      </c>
      <c r="G392" s="115">
        <v>711.78</v>
      </c>
      <c r="H392" s="115">
        <v>593.37</v>
      </c>
      <c r="I392" s="115">
        <v>603.87</v>
      </c>
      <c r="J392" s="115">
        <v>539.29</v>
      </c>
      <c r="K392" s="115">
        <v>98.21</v>
      </c>
      <c r="L392" s="115">
        <v>644.23</v>
      </c>
      <c r="M392" s="115">
        <v>771.42</v>
      </c>
      <c r="N392" s="115">
        <v>770.04</v>
      </c>
      <c r="O392" s="115">
        <v>828.46</v>
      </c>
      <c r="P392" s="115">
        <v>1298.81</v>
      </c>
      <c r="Q392" s="115">
        <f t="shared" si="26"/>
        <v>8501.199999999999</v>
      </c>
      <c r="R392" s="108"/>
      <c r="S392" s="270"/>
      <c r="U392" s="253"/>
    </row>
    <row r="393" spans="1:21" ht="12.75">
      <c r="A393" s="116">
        <f aca="true" t="shared" si="33" ref="A393:A456">A392+1</f>
        <v>387</v>
      </c>
      <c r="B393" s="111" t="s">
        <v>1070</v>
      </c>
      <c r="C393" s="141">
        <v>23004</v>
      </c>
      <c r="D393" s="122" t="s">
        <v>585</v>
      </c>
      <c r="E393" s="115">
        <v>1328.72</v>
      </c>
      <c r="F393" s="115">
        <v>886.61</v>
      </c>
      <c r="G393" s="115">
        <v>839.8799999999999</v>
      </c>
      <c r="H393" s="115">
        <v>715.43</v>
      </c>
      <c r="I393" s="115">
        <v>627.16</v>
      </c>
      <c r="J393" s="115">
        <v>790.86</v>
      </c>
      <c r="K393" s="115">
        <v>461.84</v>
      </c>
      <c r="L393" s="115">
        <v>434.24</v>
      </c>
      <c r="M393" s="115">
        <v>848.7</v>
      </c>
      <c r="N393" s="115">
        <v>1047.19</v>
      </c>
      <c r="O393" s="115">
        <v>1047.88</v>
      </c>
      <c r="P393" s="115">
        <v>1033.16</v>
      </c>
      <c r="Q393" s="115">
        <f t="shared" si="26"/>
        <v>10061.669999999998</v>
      </c>
      <c r="R393" s="108"/>
      <c r="S393" s="270"/>
      <c r="U393" s="253"/>
    </row>
    <row r="394" spans="1:21" ht="12.75">
      <c r="A394" s="116">
        <f t="shared" si="33"/>
        <v>388</v>
      </c>
      <c r="B394" s="111" t="s">
        <v>1071</v>
      </c>
      <c r="C394" s="111">
        <v>21819</v>
      </c>
      <c r="D394" s="129" t="s">
        <v>588</v>
      </c>
      <c r="E394" s="115">
        <v>15243.76</v>
      </c>
      <c r="F394" s="115">
        <v>2197.92</v>
      </c>
      <c r="G394" s="115">
        <v>11336.8</v>
      </c>
      <c r="H394" s="115">
        <v>14060.96</v>
      </c>
      <c r="I394" s="115">
        <v>11680.53</v>
      </c>
      <c r="J394" s="115">
        <v>12025.83</v>
      </c>
      <c r="K394" s="115">
        <v>6741.3</v>
      </c>
      <c r="L394" s="115">
        <v>5683.99</v>
      </c>
      <c r="M394" s="115">
        <v>10154.04</v>
      </c>
      <c r="N394" s="115">
        <v>19440.98</v>
      </c>
      <c r="O394" s="115">
        <v>13373.12</v>
      </c>
      <c r="P394" s="115">
        <v>17452.86</v>
      </c>
      <c r="Q394" s="115">
        <f t="shared" si="26"/>
        <v>139392.09</v>
      </c>
      <c r="R394" s="108"/>
      <c r="S394" s="270"/>
      <c r="U394" s="253"/>
    </row>
    <row r="395" spans="1:21" ht="12.75">
      <c r="A395" s="116">
        <f t="shared" si="33"/>
        <v>389</v>
      </c>
      <c r="B395" s="111" t="s">
        <v>1072</v>
      </c>
      <c r="C395" s="111">
        <v>21812</v>
      </c>
      <c r="D395" s="129" t="s">
        <v>588</v>
      </c>
      <c r="E395" s="115">
        <v>3548.85</v>
      </c>
      <c r="F395" s="159">
        <v>2691.82</v>
      </c>
      <c r="G395" s="159">
        <v>4091.27</v>
      </c>
      <c r="H395" s="159">
        <v>4114.13</v>
      </c>
      <c r="I395" s="159">
        <v>5326.84</v>
      </c>
      <c r="J395" s="159">
        <v>3230.74</v>
      </c>
      <c r="K395" s="159">
        <v>4238.67</v>
      </c>
      <c r="L395" s="159">
        <v>4481.78</v>
      </c>
      <c r="M395" s="159">
        <v>5376.71</v>
      </c>
      <c r="N395" s="159">
        <v>6277.85</v>
      </c>
      <c r="O395" s="159">
        <v>4557.91</v>
      </c>
      <c r="P395" s="159">
        <v>5067.59</v>
      </c>
      <c r="Q395" s="115">
        <f t="shared" si="26"/>
        <v>53004.15999999999</v>
      </c>
      <c r="R395" s="108"/>
      <c r="S395" s="278"/>
      <c r="U395" s="253"/>
    </row>
    <row r="396" spans="1:21" ht="12.75">
      <c r="A396" s="116">
        <f t="shared" si="33"/>
        <v>390</v>
      </c>
      <c r="B396" s="111" t="s">
        <v>1073</v>
      </c>
      <c r="C396" s="111">
        <v>21448</v>
      </c>
      <c r="D396" s="122" t="s">
        <v>585</v>
      </c>
      <c r="E396" s="115">
        <v>22467.94</v>
      </c>
      <c r="F396" s="115">
        <v>2253.98</v>
      </c>
      <c r="G396" s="115">
        <v>0</v>
      </c>
      <c r="H396" s="115">
        <v>10896.14</v>
      </c>
      <c r="I396" s="115">
        <v>0</v>
      </c>
      <c r="J396" s="115">
        <v>16711.27</v>
      </c>
      <c r="K396" s="115">
        <v>9176.08</v>
      </c>
      <c r="L396" s="115">
        <v>9469.1</v>
      </c>
      <c r="M396" s="115">
        <v>9486.12</v>
      </c>
      <c r="N396" s="115">
        <v>11986.68</v>
      </c>
      <c r="O396" s="115">
        <v>10313.2</v>
      </c>
      <c r="P396" s="115">
        <v>11923.43</v>
      </c>
      <c r="Q396" s="115">
        <f t="shared" si="26"/>
        <v>114683.94</v>
      </c>
      <c r="R396" s="108"/>
      <c r="S396" s="270"/>
      <c r="U396" s="253"/>
    </row>
    <row r="397" spans="1:21" ht="12.75">
      <c r="A397" s="116">
        <f t="shared" si="33"/>
        <v>391</v>
      </c>
      <c r="B397" s="111" t="s">
        <v>1074</v>
      </c>
      <c r="C397" s="111">
        <v>21451</v>
      </c>
      <c r="D397" s="122">
        <v>4</v>
      </c>
      <c r="E397" s="113">
        <f>ROUND(0.04*521.42,0)*3.53*4</f>
        <v>296.52</v>
      </c>
      <c r="F397" s="114">
        <f>ROUND(0.04*409.08,0)*3.53*4</f>
        <v>225.92</v>
      </c>
      <c r="G397" s="114">
        <f>ROUND(0.04*366.33,0)*3.53*4</f>
        <v>211.79999999999998</v>
      </c>
      <c r="H397" s="114">
        <f>ROUND(0.04*254.17,0)*3.53*4</f>
        <v>141.2</v>
      </c>
      <c r="I397" s="114">
        <f>ROUND(0.04*168.83,0)*3.53*4</f>
        <v>98.83999999999999</v>
      </c>
      <c r="J397" s="114">
        <f>ROUND(0.04*102.5,0)*3.53*4</f>
        <v>56.48</v>
      </c>
      <c r="K397" s="114">
        <f>ROUND(0.04*143.25,0)*3.84*4</f>
        <v>92.16</v>
      </c>
      <c r="L397" s="114">
        <f>(0.04*235.08)*3.84*4</f>
        <v>144.433152</v>
      </c>
      <c r="M397" s="114">
        <f>(0.04*314.166)*3.84*4</f>
        <v>193.0235904</v>
      </c>
      <c r="N397" s="131">
        <f>29.1*2.83*3.84</f>
        <v>316.23552</v>
      </c>
      <c r="O397" s="131">
        <f>29.1*2.83*3.84</f>
        <v>316.23552</v>
      </c>
      <c r="P397" s="131">
        <f>29.1*2.83*3.84</f>
        <v>316.23552</v>
      </c>
      <c r="Q397" s="115">
        <f t="shared" si="26"/>
        <v>2409.0833024</v>
      </c>
      <c r="R397" s="108"/>
      <c r="S397" s="270"/>
      <c r="U397" s="253"/>
    </row>
    <row r="398" spans="1:21" ht="12.75">
      <c r="A398" s="116">
        <f t="shared" si="33"/>
        <v>392</v>
      </c>
      <c r="B398" s="111" t="s">
        <v>1075</v>
      </c>
      <c r="C398" s="111">
        <v>21449</v>
      </c>
      <c r="D398" s="122">
        <v>2</v>
      </c>
      <c r="E398" s="113">
        <f>ROUND(0.04*521.42,0)*3.53*2</f>
        <v>148.26</v>
      </c>
      <c r="F398" s="114">
        <f>ROUND(0.04*409.08,0)*3.53*2</f>
        <v>112.96</v>
      </c>
      <c r="G398" s="114">
        <f>ROUND(0.04*366.33,0)*3.53*2</f>
        <v>105.89999999999999</v>
      </c>
      <c r="H398" s="114">
        <f>ROUND(0.04*254.17,0)*3.53*2</f>
        <v>70.6</v>
      </c>
      <c r="I398" s="114">
        <f>ROUND(0.04*168.83,0)*3.53*2</f>
        <v>49.419999999999995</v>
      </c>
      <c r="J398" s="114">
        <f>ROUND(0.04*102.5,0)*3.53*2</f>
        <v>28.24</v>
      </c>
      <c r="K398" s="114">
        <f>ROUND(0.04*143.25,0)*3.84*2</f>
        <v>46.08</v>
      </c>
      <c r="L398" s="114">
        <f>(0.04*235.08)*3.84*2</f>
        <v>72.216576</v>
      </c>
      <c r="M398" s="240">
        <f>(0.04*314.166)*3.84*2</f>
        <v>96.5117952</v>
      </c>
      <c r="N398" s="131">
        <f>44.3*2.83*3.84</f>
        <v>481.41695999999996</v>
      </c>
      <c r="O398" s="131">
        <f>44.3*2.83*3.84</f>
        <v>481.41695999999996</v>
      </c>
      <c r="P398" s="131">
        <f>44.3*2.83*3.84</f>
        <v>481.41695999999996</v>
      </c>
      <c r="Q398" s="115">
        <f aca="true" t="shared" si="34" ref="Q398:Q430">E398+F398+G398+H398+I398+J398+K398+L398+M398+N398+O398+P398</f>
        <v>2174.4392512</v>
      </c>
      <c r="R398" s="108"/>
      <c r="S398" s="270"/>
      <c r="U398" s="253"/>
    </row>
    <row r="399" spans="1:21" ht="12.75">
      <c r="A399" s="116">
        <f t="shared" si="33"/>
        <v>393</v>
      </c>
      <c r="B399" s="111" t="s">
        <v>431</v>
      </c>
      <c r="C399" s="111">
        <v>21463</v>
      </c>
      <c r="D399" s="122">
        <v>35</v>
      </c>
      <c r="E399" s="115">
        <v>1176.45</v>
      </c>
      <c r="F399" s="115">
        <v>394.55</v>
      </c>
      <c r="G399" s="115">
        <v>750.15</v>
      </c>
      <c r="H399" s="115">
        <v>672.78</v>
      </c>
      <c r="I399" s="115">
        <v>579.02</v>
      </c>
      <c r="J399" s="115">
        <v>603.92</v>
      </c>
      <c r="K399" s="115">
        <v>531.99</v>
      </c>
      <c r="L399" s="115">
        <v>468.05</v>
      </c>
      <c r="M399" s="115">
        <v>750.72</v>
      </c>
      <c r="N399" s="115">
        <v>782.46</v>
      </c>
      <c r="O399" s="115">
        <v>900.22</v>
      </c>
      <c r="P399" s="299"/>
      <c r="Q399" s="115">
        <f t="shared" si="34"/>
        <v>7610.31</v>
      </c>
      <c r="R399" s="292" t="s">
        <v>412</v>
      </c>
      <c r="S399" s="270"/>
      <c r="U399" s="253"/>
    </row>
    <row r="400" spans="1:21" ht="12.75">
      <c r="A400" s="116">
        <f t="shared" si="33"/>
        <v>394</v>
      </c>
      <c r="B400" s="111" t="s">
        <v>1076</v>
      </c>
      <c r="C400" s="146">
        <v>10017</v>
      </c>
      <c r="D400" s="122" t="s">
        <v>585</v>
      </c>
      <c r="E400" s="115">
        <v>7658.38</v>
      </c>
      <c r="F400" s="115">
        <v>7639.9</v>
      </c>
      <c r="G400" s="115">
        <v>6997.03</v>
      </c>
      <c r="H400" s="115">
        <v>7033.16</v>
      </c>
      <c r="I400" s="115">
        <v>7048.09</v>
      </c>
      <c r="J400" s="115">
        <v>7408.65</v>
      </c>
      <c r="K400" s="115">
        <v>6175.73</v>
      </c>
      <c r="L400" s="115">
        <v>6739.92</v>
      </c>
      <c r="M400" s="115">
        <v>8965.63</v>
      </c>
      <c r="N400" s="115">
        <v>8950.22</v>
      </c>
      <c r="O400" s="115">
        <v>6966.24</v>
      </c>
      <c r="P400" s="115">
        <v>6232.54</v>
      </c>
      <c r="Q400" s="115">
        <f t="shared" si="34"/>
        <v>87815.49</v>
      </c>
      <c r="R400" s="108"/>
      <c r="S400" s="270"/>
      <c r="U400" s="253"/>
    </row>
    <row r="401" spans="1:21" ht="12.75">
      <c r="A401" s="116">
        <f t="shared" si="33"/>
        <v>395</v>
      </c>
      <c r="B401" s="111" t="s">
        <v>1077</v>
      </c>
      <c r="C401" s="111">
        <v>21457</v>
      </c>
      <c r="D401" s="122">
        <v>1</v>
      </c>
      <c r="E401" s="113">
        <f>ROUND(0.04*521.42,0)*3.53</f>
        <v>74.13</v>
      </c>
      <c r="F401" s="114">
        <f>ROUND(0.04*409.08,0)*3.53</f>
        <v>56.48</v>
      </c>
      <c r="G401" s="114">
        <f>ROUND(0.04*366.33,0)*3.53</f>
        <v>52.949999999999996</v>
      </c>
      <c r="H401" s="114">
        <f>ROUND(0.04*254.17,0)*3.53</f>
        <v>35.3</v>
      </c>
      <c r="I401" s="114">
        <f>ROUND(0.04*168.83,0)*3.53</f>
        <v>24.709999999999997</v>
      </c>
      <c r="J401" s="114">
        <f>ROUND(0.04*102.5,0)*3.53</f>
        <v>14.12</v>
      </c>
      <c r="K401" s="114">
        <f>ROUND(0.04*143.25,0)*3.84</f>
        <v>23.04</v>
      </c>
      <c r="L401" s="114">
        <f>(0.04*235.08)*3.84</f>
        <v>36.108288</v>
      </c>
      <c r="M401" s="114">
        <f>(0.04*314.166)*3.84</f>
        <v>48.2558976</v>
      </c>
      <c r="N401" s="131">
        <f>22.1*2.83*3.84</f>
        <v>240.16512</v>
      </c>
      <c r="O401" s="131">
        <f>22.1*2.83*3.84</f>
        <v>240.16512</v>
      </c>
      <c r="P401" s="131">
        <f>22.1*2.83*3.84</f>
        <v>240.16512</v>
      </c>
      <c r="Q401" s="115">
        <f t="shared" si="34"/>
        <v>1085.5895455999998</v>
      </c>
      <c r="R401" s="108"/>
      <c r="S401" s="270"/>
      <c r="U401" s="253"/>
    </row>
    <row r="402" spans="1:21" ht="12" customHeight="1">
      <c r="A402" s="116">
        <f t="shared" si="33"/>
        <v>396</v>
      </c>
      <c r="B402" s="111" t="s">
        <v>1078</v>
      </c>
      <c r="C402" s="117">
        <v>21460</v>
      </c>
      <c r="D402" s="128">
        <v>2</v>
      </c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>
        <f t="shared" si="34"/>
        <v>0</v>
      </c>
      <c r="R402" s="124" t="s">
        <v>1079</v>
      </c>
      <c r="S402" s="270"/>
      <c r="U402" s="253"/>
    </row>
    <row r="403" spans="1:21" ht="12.75">
      <c r="A403" s="116">
        <f t="shared" si="33"/>
        <v>397</v>
      </c>
      <c r="B403" s="111" t="s">
        <v>1080</v>
      </c>
      <c r="C403" s="111">
        <v>21688</v>
      </c>
      <c r="D403" s="122">
        <v>1</v>
      </c>
      <c r="E403" s="113">
        <f>ROUND(0.04*521.42,0)*3.53</f>
        <v>74.13</v>
      </c>
      <c r="F403" s="114">
        <f>ROUND(0.04*409.08,0)*3.53</f>
        <v>56.48</v>
      </c>
      <c r="G403" s="114">
        <f>ROUND(0.04*366.33,0)*3.53</f>
        <v>52.949999999999996</v>
      </c>
      <c r="H403" s="114">
        <f>ROUND(0.04*254.17,0)*3.53</f>
        <v>35.3</v>
      </c>
      <c r="I403" s="114">
        <f>ROUND(0.04*168.83,0)*3.53</f>
        <v>24.709999999999997</v>
      </c>
      <c r="J403" s="114">
        <f>ROUND(0.04*102.5,0)*3.53</f>
        <v>14.12</v>
      </c>
      <c r="K403" s="114">
        <f>ROUND(0.04*143.25,0)*3.84</f>
        <v>23.04</v>
      </c>
      <c r="L403" s="114">
        <f>(0.04*235.08)*3.84</f>
        <v>36.108288</v>
      </c>
      <c r="M403" s="114">
        <f>(0.04*314.166)*3.84</f>
        <v>48.2558976</v>
      </c>
      <c r="N403" s="261">
        <f>(0.04*430.833)*3.84</f>
        <v>66.17594880000001</v>
      </c>
      <c r="O403" s="261"/>
      <c r="P403" s="261"/>
      <c r="Q403" s="115">
        <f t="shared" si="34"/>
        <v>431.27013439999996</v>
      </c>
      <c r="R403" s="108"/>
      <c r="S403" s="270"/>
      <c r="U403" s="253"/>
    </row>
    <row r="404" spans="1:21" ht="12.75">
      <c r="A404" s="116">
        <f t="shared" si="33"/>
        <v>398</v>
      </c>
      <c r="B404" s="111" t="s">
        <v>1081</v>
      </c>
      <c r="C404" s="111">
        <v>21690</v>
      </c>
      <c r="D404" s="122">
        <v>2</v>
      </c>
      <c r="E404" s="113">
        <f>ROUND(0.04*521.42,0)*3.53*2</f>
        <v>148.26</v>
      </c>
      <c r="F404" s="114">
        <f>ROUND(0.04*409.08,0)*3.53*2</f>
        <v>112.96</v>
      </c>
      <c r="G404" s="114">
        <f>ROUND(0.04*366.33,0)*3.53*2</f>
        <v>105.89999999999999</v>
      </c>
      <c r="H404" s="114">
        <f>ROUND(0.04*254.17,0)*3.53*2</f>
        <v>70.6</v>
      </c>
      <c r="I404" s="114">
        <f>ROUND(0.04*168.83,0)*3.53*2</f>
        <v>49.419999999999995</v>
      </c>
      <c r="J404" s="114">
        <f>ROUND(0.04*102.5,0)*3.53*2</f>
        <v>28.24</v>
      </c>
      <c r="K404" s="114">
        <f>ROUND(0.04*143.25,0)*3.84*2</f>
        <v>46.08</v>
      </c>
      <c r="L404" s="114">
        <f>(0.04*235.08)*3.84*2</f>
        <v>72.216576</v>
      </c>
      <c r="M404" s="131">
        <f>23.8*2.83*3.84</f>
        <v>258.63936</v>
      </c>
      <c r="N404" s="131">
        <f>23.8*2.83*3.84</f>
        <v>258.63936</v>
      </c>
      <c r="O404" s="131">
        <f>23.8*2.83*3.84</f>
        <v>258.63936</v>
      </c>
      <c r="P404" s="131">
        <f>23.8*2.83*3.84</f>
        <v>258.63936</v>
      </c>
      <c r="Q404" s="115">
        <f t="shared" si="34"/>
        <v>1668.2340160000003</v>
      </c>
      <c r="R404" s="108"/>
      <c r="S404" s="270"/>
      <c r="U404" s="253"/>
    </row>
    <row r="405" spans="1:21" ht="12.75">
      <c r="A405" s="116">
        <f t="shared" si="33"/>
        <v>399</v>
      </c>
      <c r="B405" s="111" t="s">
        <v>1082</v>
      </c>
      <c r="C405" s="111">
        <v>21696</v>
      </c>
      <c r="D405" s="122">
        <v>2</v>
      </c>
      <c r="E405" s="113">
        <f>ROUND(0.04*521.42,0)*3.53*2</f>
        <v>148.26</v>
      </c>
      <c r="F405" s="114">
        <f>ROUND(0.04*409.08,0)*3.53*2</f>
        <v>112.96</v>
      </c>
      <c r="G405" s="114">
        <f>ROUND(0.04*366.33,0)*3.53*2</f>
        <v>105.89999999999999</v>
      </c>
      <c r="H405" s="114">
        <f>ROUND(0.04*254.17,0)*3.53*2</f>
        <v>70.6</v>
      </c>
      <c r="I405" s="114">
        <f>ROUND(0.04*168.83,0)*3.53*2</f>
        <v>49.419999999999995</v>
      </c>
      <c r="J405" s="114">
        <f>ROUND(0.04*102.5,0)*3.53*2</f>
        <v>28.24</v>
      </c>
      <c r="K405" s="114">
        <f>ROUND(0.04*143.25,0)*3.84*2</f>
        <v>46.08</v>
      </c>
      <c r="L405" s="114">
        <f>(0.04*235.08)*3.84*2</f>
        <v>72.216576</v>
      </c>
      <c r="M405" s="131">
        <f>24.7*2.83*3.84</f>
        <v>268.41983999999997</v>
      </c>
      <c r="N405" s="131">
        <f>24.7*2.83*3.84</f>
        <v>268.41983999999997</v>
      </c>
      <c r="O405" s="131">
        <f>24.7*2.83*3.84</f>
        <v>268.41983999999997</v>
      </c>
      <c r="P405" s="131">
        <f>24.7*2.83*3.84</f>
        <v>268.41983999999997</v>
      </c>
      <c r="Q405" s="115">
        <f t="shared" si="34"/>
        <v>1707.355936</v>
      </c>
      <c r="R405" s="108"/>
      <c r="S405" s="270"/>
      <c r="U405" s="253"/>
    </row>
    <row r="406" spans="1:21" ht="12.75">
      <c r="A406" s="116">
        <f t="shared" si="33"/>
        <v>400</v>
      </c>
      <c r="B406" s="111" t="s">
        <v>1083</v>
      </c>
      <c r="C406" s="111">
        <v>21698</v>
      </c>
      <c r="D406" s="122">
        <v>1</v>
      </c>
      <c r="E406" s="113">
        <f>ROUND(0.04*521.42,0)*3.53</f>
        <v>74.13</v>
      </c>
      <c r="F406" s="114">
        <f>ROUND(0.04*409.08,0)*3.53</f>
        <v>56.48</v>
      </c>
      <c r="G406" s="114">
        <f>ROUND(0.04*366.33,0)*3.53</f>
        <v>52.949999999999996</v>
      </c>
      <c r="H406" s="114">
        <f>ROUND(0.04*254.17,0)*3.53</f>
        <v>35.3</v>
      </c>
      <c r="I406" s="114">
        <f>ROUND(0.04*168.83,0)*3.53</f>
        <v>24.709999999999997</v>
      </c>
      <c r="J406" s="114">
        <f>ROUND(0.04*102.5,0)*3.53</f>
        <v>14.12</v>
      </c>
      <c r="K406" s="114">
        <f>ROUND(0.04*143.25,0)*3.84</f>
        <v>23.04</v>
      </c>
      <c r="L406" s="114">
        <f>(0.04*235.08)*3.84</f>
        <v>36.108288</v>
      </c>
      <c r="M406" s="131">
        <f>30.9*2.83*3.84</f>
        <v>335.79648</v>
      </c>
      <c r="N406" s="131">
        <f>30.9*2.83*3.84</f>
        <v>335.79648</v>
      </c>
      <c r="O406" s="131">
        <f>30.9*2.83*3.84</f>
        <v>335.79648</v>
      </c>
      <c r="P406" s="131">
        <f>30.9*2.83*3.84</f>
        <v>335.79648</v>
      </c>
      <c r="Q406" s="115">
        <f t="shared" si="34"/>
        <v>1660.0242079999998</v>
      </c>
      <c r="R406" s="108"/>
      <c r="S406" s="270"/>
      <c r="U406" s="253"/>
    </row>
    <row r="407" spans="1:21" ht="12.75">
      <c r="A407" s="116">
        <f t="shared" si="33"/>
        <v>401</v>
      </c>
      <c r="B407" s="111" t="s">
        <v>726</v>
      </c>
      <c r="C407" s="146"/>
      <c r="D407" s="122"/>
      <c r="E407" s="114">
        <v>8549.79</v>
      </c>
      <c r="F407" s="115">
        <v>8817.7</v>
      </c>
      <c r="G407" s="115">
        <v>6136.23</v>
      </c>
      <c r="H407" s="115">
        <v>6539.49</v>
      </c>
      <c r="I407" s="115">
        <v>5988.74</v>
      </c>
      <c r="J407" s="115">
        <v>6134.69</v>
      </c>
      <c r="K407" s="115">
        <v>10282.38</v>
      </c>
      <c r="L407" s="115">
        <v>7161.28</v>
      </c>
      <c r="M407" s="115">
        <v>7443.95</v>
      </c>
      <c r="N407" s="115">
        <v>7633.24</v>
      </c>
      <c r="O407" s="115">
        <v>6338.34</v>
      </c>
      <c r="P407" s="115">
        <v>7753.53</v>
      </c>
      <c r="Q407" s="115">
        <f t="shared" si="34"/>
        <v>88779.36</v>
      </c>
      <c r="R407" s="108"/>
      <c r="S407" s="270"/>
      <c r="U407" s="253"/>
    </row>
    <row r="408" spans="1:21" ht="12.75">
      <c r="A408" s="116">
        <f t="shared" si="33"/>
        <v>402</v>
      </c>
      <c r="B408" s="111" t="s">
        <v>1084</v>
      </c>
      <c r="C408" s="111">
        <v>23704</v>
      </c>
      <c r="D408" s="122" t="s">
        <v>584</v>
      </c>
      <c r="E408" s="136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>
        <f t="shared" si="34"/>
        <v>0</v>
      </c>
      <c r="R408" s="108" t="s">
        <v>293</v>
      </c>
      <c r="S408" s="270"/>
      <c r="U408" s="253"/>
    </row>
    <row r="409" spans="1:21" ht="12.75">
      <c r="A409" s="116">
        <f t="shared" si="33"/>
        <v>403</v>
      </c>
      <c r="B409" s="111" t="s">
        <v>689</v>
      </c>
      <c r="C409" s="121">
        <v>12290</v>
      </c>
      <c r="D409" s="122" t="s">
        <v>717</v>
      </c>
      <c r="E409" s="160"/>
      <c r="F409" s="115"/>
      <c r="G409" s="115"/>
      <c r="H409" s="115"/>
      <c r="I409" s="115"/>
      <c r="J409" s="115"/>
      <c r="K409" s="115"/>
      <c r="L409" s="115"/>
      <c r="M409" s="115"/>
      <c r="N409" s="115"/>
      <c r="O409" s="119"/>
      <c r="P409" s="119"/>
      <c r="Q409" s="115">
        <f t="shared" si="34"/>
        <v>0</v>
      </c>
      <c r="R409" s="162" t="s">
        <v>716</v>
      </c>
      <c r="S409" s="270"/>
      <c r="U409" s="253"/>
    </row>
    <row r="410" spans="1:21" ht="12.75">
      <c r="A410" s="116">
        <f t="shared" si="33"/>
        <v>404</v>
      </c>
      <c r="B410" s="111" t="s">
        <v>609</v>
      </c>
      <c r="C410" s="117">
        <v>12288</v>
      </c>
      <c r="D410" s="128"/>
      <c r="E410" s="119"/>
      <c r="F410" s="119"/>
      <c r="G410" s="119"/>
      <c r="H410" s="119"/>
      <c r="I410" s="119"/>
      <c r="J410" s="119"/>
      <c r="K410" s="119"/>
      <c r="L410" s="119"/>
      <c r="M410" s="131">
        <f>34.4*3.22*3.84</f>
        <v>425.34911999999997</v>
      </c>
      <c r="N410" s="119"/>
      <c r="O410" s="119"/>
      <c r="P410" s="119"/>
      <c r="Q410" s="119">
        <f t="shared" si="34"/>
        <v>425.34911999999997</v>
      </c>
      <c r="R410" s="124" t="s">
        <v>1085</v>
      </c>
      <c r="S410" s="270"/>
      <c r="U410" s="253"/>
    </row>
    <row r="411" spans="1:21" ht="12.75">
      <c r="A411" s="116">
        <f t="shared" si="33"/>
        <v>405</v>
      </c>
      <c r="B411" s="111" t="s">
        <v>1086</v>
      </c>
      <c r="C411" s="111">
        <v>12289</v>
      </c>
      <c r="D411" s="122" t="s">
        <v>584</v>
      </c>
      <c r="E411" s="136"/>
      <c r="F411" s="115"/>
      <c r="G411" s="156">
        <f>ROUND(0.04*366.33,0)*3.53*3</f>
        <v>158.85</v>
      </c>
      <c r="H411" s="156">
        <f>ROUND(0.04*254.17,0)*3.53*3</f>
        <v>105.89999999999999</v>
      </c>
      <c r="I411" s="156">
        <f>ROUND(0.04*168.83,0)*3.53*3</f>
        <v>74.13</v>
      </c>
      <c r="J411" s="156">
        <v>0</v>
      </c>
      <c r="K411" s="156">
        <v>0</v>
      </c>
      <c r="L411" s="156">
        <v>0</v>
      </c>
      <c r="M411" s="156">
        <v>0</v>
      </c>
      <c r="N411" s="156">
        <v>0</v>
      </c>
      <c r="O411" s="156">
        <v>0</v>
      </c>
      <c r="P411" s="156">
        <v>0</v>
      </c>
      <c r="Q411" s="115">
        <f t="shared" si="34"/>
        <v>338.88</v>
      </c>
      <c r="R411" s="108" t="s">
        <v>294</v>
      </c>
      <c r="S411" s="277"/>
      <c r="U411" s="253"/>
    </row>
    <row r="412" spans="1:21" ht="12.75">
      <c r="A412" s="116">
        <f t="shared" si="33"/>
        <v>406</v>
      </c>
      <c r="B412" s="111" t="s">
        <v>1087</v>
      </c>
      <c r="C412" s="9">
        <v>12294</v>
      </c>
      <c r="D412" s="125"/>
      <c r="E412" s="125"/>
      <c r="F412" s="125"/>
      <c r="G412" s="125"/>
      <c r="H412" s="125"/>
      <c r="I412" s="125"/>
      <c r="J412" s="125"/>
      <c r="K412" s="125"/>
      <c r="L412" s="125"/>
      <c r="M412" s="254">
        <f>32.65*3.22*3.84</f>
        <v>403.71072</v>
      </c>
      <c r="N412" s="259"/>
      <c r="O412" s="259"/>
      <c r="P412" s="259"/>
      <c r="Q412" s="115">
        <f t="shared" si="34"/>
        <v>403.71072</v>
      </c>
      <c r="R412" s="99" t="s">
        <v>279</v>
      </c>
      <c r="S412" s="271"/>
      <c r="U412" s="253"/>
    </row>
    <row r="413" spans="1:21" ht="12.75">
      <c r="A413" s="116">
        <f t="shared" si="33"/>
        <v>407</v>
      </c>
      <c r="B413" s="111" t="s">
        <v>1088</v>
      </c>
      <c r="C413" s="111">
        <v>12295</v>
      </c>
      <c r="D413" s="122">
        <v>16</v>
      </c>
      <c r="E413" s="113">
        <f>ROUND(0.04*521.42,0)*3.53*16</f>
        <v>1186.08</v>
      </c>
      <c r="F413" s="114">
        <f>ROUND(0.04*409.08,0)*3.53*16</f>
        <v>903.68</v>
      </c>
      <c r="G413" s="114">
        <f>ROUND(0.04*366.33,0)*3.53*16</f>
        <v>847.1999999999999</v>
      </c>
      <c r="H413" s="114">
        <f>ROUND(0.04*254.17,0)*3.53*16</f>
        <v>564.8</v>
      </c>
      <c r="I413" s="114">
        <f>ROUND(0.04*168.83,0)*3.53*16</f>
        <v>395.35999999999996</v>
      </c>
      <c r="J413" s="114">
        <f>ROUND(0.04*102.5,0)*3.53*16</f>
        <v>225.92</v>
      </c>
      <c r="K413" s="114">
        <f>ROUND(0.04*143.25,0)*3.84*16</f>
        <v>368.64</v>
      </c>
      <c r="L413" s="114">
        <f>(0.04*235.08)*3.84*16</f>
        <v>577.732608</v>
      </c>
      <c r="M413" s="114">
        <f>ROUND(0.04*314.166,0)*3.84*16</f>
        <v>798.72</v>
      </c>
      <c r="N413" s="261">
        <f>ROUND(0.04*430.833,0)*3.84*16</f>
        <v>1044.48</v>
      </c>
      <c r="O413" s="261"/>
      <c r="P413" s="261"/>
      <c r="Q413" s="115">
        <f t="shared" si="34"/>
        <v>6912.612607999999</v>
      </c>
      <c r="R413" s="108" t="s">
        <v>870</v>
      </c>
      <c r="S413" s="270"/>
      <c r="U413" s="253"/>
    </row>
    <row r="414" spans="1:21" ht="12.75">
      <c r="A414" s="116">
        <f t="shared" si="33"/>
        <v>408</v>
      </c>
      <c r="B414" s="111" t="s">
        <v>1089</v>
      </c>
      <c r="C414" s="111">
        <v>11262</v>
      </c>
      <c r="D414" s="126" t="s">
        <v>583</v>
      </c>
      <c r="E414" s="115">
        <v>34383.6</v>
      </c>
      <c r="F414" s="115">
        <v>34203.6</v>
      </c>
      <c r="G414" s="115">
        <v>29509.2</v>
      </c>
      <c r="H414" s="115">
        <v>29840.4</v>
      </c>
      <c r="I414" s="115">
        <v>26703</v>
      </c>
      <c r="J414" s="115">
        <v>27212.4</v>
      </c>
      <c r="K414" s="115">
        <v>24761.4</v>
      </c>
      <c r="L414" s="115">
        <v>23224.2</v>
      </c>
      <c r="M414" s="115">
        <v>29779.8</v>
      </c>
      <c r="N414" s="115">
        <v>32100</v>
      </c>
      <c r="O414" s="115">
        <v>32120.4</v>
      </c>
      <c r="P414" s="115">
        <v>35959.2</v>
      </c>
      <c r="Q414" s="115">
        <f t="shared" si="34"/>
        <v>359797.2</v>
      </c>
      <c r="R414" s="108"/>
      <c r="S414" s="270"/>
      <c r="U414" s="253"/>
    </row>
    <row r="415" spans="1:21" ht="12.75">
      <c r="A415" s="116">
        <f t="shared" si="33"/>
        <v>409</v>
      </c>
      <c r="B415" s="111" t="s">
        <v>1090</v>
      </c>
      <c r="C415" s="111">
        <v>11261</v>
      </c>
      <c r="D415" s="129" t="s">
        <v>588</v>
      </c>
      <c r="E415" s="115">
        <v>7683.93</v>
      </c>
      <c r="F415" s="115">
        <v>7094.34</v>
      </c>
      <c r="G415" s="115">
        <v>6143.07</v>
      </c>
      <c r="H415" s="115">
        <v>6103.05</v>
      </c>
      <c r="I415" s="115">
        <v>4741.88</v>
      </c>
      <c r="J415" s="115">
        <v>5143.17</v>
      </c>
      <c r="K415" s="115">
        <v>3959.74</v>
      </c>
      <c r="L415" s="115">
        <v>3556.77</v>
      </c>
      <c r="M415" s="115">
        <v>6572.31</v>
      </c>
      <c r="N415" s="115">
        <v>6320.83</v>
      </c>
      <c r="O415" s="115">
        <v>7442.16</v>
      </c>
      <c r="P415" s="115">
        <v>8903.7</v>
      </c>
      <c r="Q415" s="115">
        <f t="shared" si="34"/>
        <v>73664.95</v>
      </c>
      <c r="R415" s="108"/>
      <c r="S415" s="270"/>
      <c r="U415" s="253"/>
    </row>
    <row r="416" spans="1:21" ht="12.75">
      <c r="A416" s="116">
        <f t="shared" si="33"/>
        <v>410</v>
      </c>
      <c r="B416" s="111" t="s">
        <v>1091</v>
      </c>
      <c r="C416" s="111">
        <v>11267</v>
      </c>
      <c r="D416" s="129" t="s">
        <v>588</v>
      </c>
      <c r="E416" s="115">
        <v>2100.06</v>
      </c>
      <c r="F416" s="115">
        <v>2169.06</v>
      </c>
      <c r="G416" s="115">
        <v>3645.0600000000004</v>
      </c>
      <c r="H416" s="115">
        <v>2132.16</v>
      </c>
      <c r="I416" s="115">
        <v>1581.9</v>
      </c>
      <c r="J416" s="115">
        <v>973.59</v>
      </c>
      <c r="K416" s="115">
        <v>987.85</v>
      </c>
      <c r="L416" s="115">
        <v>1207.07</v>
      </c>
      <c r="M416" s="115">
        <v>1244.92</v>
      </c>
      <c r="N416" s="115">
        <v>2287.73</v>
      </c>
      <c r="O416" s="115">
        <v>2491.29</v>
      </c>
      <c r="P416" s="115">
        <v>2842.77</v>
      </c>
      <c r="Q416" s="115">
        <f t="shared" si="34"/>
        <v>23663.460000000003</v>
      </c>
      <c r="R416" s="108"/>
      <c r="S416" s="270"/>
      <c r="U416" s="253"/>
    </row>
    <row r="417" spans="1:21" ht="12.75">
      <c r="A417" s="116">
        <f t="shared" si="33"/>
        <v>411</v>
      </c>
      <c r="B417" s="111" t="s">
        <v>1092</v>
      </c>
      <c r="C417" s="117">
        <v>19755</v>
      </c>
      <c r="D417" s="129" t="s">
        <v>588</v>
      </c>
      <c r="E417" s="115">
        <v>15005.76</v>
      </c>
      <c r="F417" s="115">
        <f>8952.08+6266.77</f>
        <v>15218.85</v>
      </c>
      <c r="G417" s="115">
        <v>12982.35</v>
      </c>
      <c r="H417" s="115">
        <f>8687.71+2428.01</f>
        <v>11115.72</v>
      </c>
      <c r="I417" s="115">
        <f>8351.9+2331.68</f>
        <v>10683.58</v>
      </c>
      <c r="J417" s="115">
        <f>33401.02+9361.3</f>
        <v>42762.31999999999</v>
      </c>
      <c r="K417" s="115">
        <f>10828.09+3002.04</f>
        <v>13830.130000000001</v>
      </c>
      <c r="L417" s="115">
        <f>13721.49+3806.35</f>
        <v>17527.84</v>
      </c>
      <c r="M417" s="115">
        <f>14353.94+3981.2</f>
        <v>18335.14</v>
      </c>
      <c r="N417" s="115">
        <f>16222.67+3741.79</f>
        <v>19964.46</v>
      </c>
      <c r="O417" s="115">
        <f>17361.52+4002.72</f>
        <v>21364.24</v>
      </c>
      <c r="P417" s="115">
        <f>18856.12+4349.73</f>
        <v>23205.85</v>
      </c>
      <c r="Q417" s="115">
        <f t="shared" si="34"/>
        <v>221996.24</v>
      </c>
      <c r="R417" s="108"/>
      <c r="S417" s="270"/>
      <c r="U417" s="253"/>
    </row>
    <row r="418" spans="1:21" ht="12.75">
      <c r="A418" s="116">
        <f t="shared" si="33"/>
        <v>412</v>
      </c>
      <c r="B418" s="111" t="s">
        <v>1093</v>
      </c>
      <c r="C418" s="111">
        <v>12672</v>
      </c>
      <c r="D418" s="122" t="s">
        <v>585</v>
      </c>
      <c r="E418" s="115">
        <v>5870.31</v>
      </c>
      <c r="F418" s="115">
        <v>15340.71</v>
      </c>
      <c r="G418" s="115">
        <v>5379.7699999999995</v>
      </c>
      <c r="H418" s="115">
        <v>2077.35</v>
      </c>
      <c r="I418" s="115">
        <v>2037.97</v>
      </c>
      <c r="J418" s="115">
        <v>1366.5</v>
      </c>
      <c r="K418" s="115">
        <v>1114.58</v>
      </c>
      <c r="L418" s="115">
        <v>1386.44</v>
      </c>
      <c r="M418" s="115">
        <v>2905.36</v>
      </c>
      <c r="N418" s="115">
        <v>4226.94</v>
      </c>
      <c r="O418" s="115">
        <v>6726.81</v>
      </c>
      <c r="P418" s="115">
        <v>6169.98</v>
      </c>
      <c r="Q418" s="115">
        <f t="shared" si="34"/>
        <v>54602.72</v>
      </c>
      <c r="R418" s="108"/>
      <c r="S418" s="270"/>
      <c r="U418" s="253"/>
    </row>
    <row r="419" spans="1:21" ht="12.75">
      <c r="A419" s="116">
        <f t="shared" si="33"/>
        <v>413</v>
      </c>
      <c r="B419" s="111" t="s">
        <v>1094</v>
      </c>
      <c r="C419" s="111">
        <v>12671</v>
      </c>
      <c r="D419" s="129" t="s">
        <v>588</v>
      </c>
      <c r="E419" s="115">
        <v>4355.01</v>
      </c>
      <c r="F419" s="115">
        <v>4381.02</v>
      </c>
      <c r="G419" s="115">
        <v>2860.2000000000003</v>
      </c>
      <c r="H419" s="115">
        <v>5886.09</v>
      </c>
      <c r="I419" s="115">
        <v>3133.68</v>
      </c>
      <c r="J419" s="115">
        <v>4343.58</v>
      </c>
      <c r="K419" s="115">
        <v>3840.93</v>
      </c>
      <c r="L419" s="115">
        <v>4404.88</v>
      </c>
      <c r="M419" s="115">
        <v>4574.48</v>
      </c>
      <c r="N419" s="115">
        <v>4078.6</v>
      </c>
      <c r="O419" s="115">
        <v>4930.59</v>
      </c>
      <c r="P419" s="299"/>
      <c r="Q419" s="115">
        <f t="shared" si="34"/>
        <v>46789.06</v>
      </c>
      <c r="R419" s="293" t="s">
        <v>410</v>
      </c>
      <c r="S419" s="270"/>
      <c r="U419" s="253"/>
    </row>
    <row r="420" spans="1:21" ht="12.75">
      <c r="A420" s="116">
        <f t="shared" si="33"/>
        <v>414</v>
      </c>
      <c r="B420" s="111" t="s">
        <v>1095</v>
      </c>
      <c r="C420" s="111">
        <v>11271</v>
      </c>
      <c r="D420" s="129" t="s">
        <v>588</v>
      </c>
      <c r="E420" s="115">
        <v>3378.01</v>
      </c>
      <c r="F420" s="115">
        <v>3459.63</v>
      </c>
      <c r="G420" s="115">
        <v>3170.85</v>
      </c>
      <c r="H420" s="115">
        <v>2657.94</v>
      </c>
      <c r="I420" s="115">
        <v>1532.53</v>
      </c>
      <c r="J420" s="115">
        <v>1327.59</v>
      </c>
      <c r="K420" s="115">
        <v>1616.21</v>
      </c>
      <c r="L420" s="115">
        <v>1645.88</v>
      </c>
      <c r="M420" s="115">
        <v>2437.31</v>
      </c>
      <c r="N420" s="115">
        <v>2417.07</v>
      </c>
      <c r="O420" s="115">
        <v>2129.34</v>
      </c>
      <c r="P420" s="115">
        <v>2681.11</v>
      </c>
      <c r="Q420" s="115">
        <f t="shared" si="34"/>
        <v>28453.470000000005</v>
      </c>
      <c r="R420" s="108"/>
      <c r="S420" s="270"/>
      <c r="U420" s="253"/>
    </row>
    <row r="421" spans="1:21" ht="12.75">
      <c r="A421" s="116">
        <f t="shared" si="33"/>
        <v>415</v>
      </c>
      <c r="B421" s="111" t="s">
        <v>1096</v>
      </c>
      <c r="C421" s="111">
        <v>11281</v>
      </c>
      <c r="D421" s="129" t="s">
        <v>588</v>
      </c>
      <c r="E421" s="115">
        <v>2826.75</v>
      </c>
      <c r="F421" s="115">
        <v>2739.75</v>
      </c>
      <c r="G421" s="115">
        <v>2152.26</v>
      </c>
      <c r="H421" s="115">
        <v>2196.78</v>
      </c>
      <c r="I421" s="115">
        <v>2079.78</v>
      </c>
      <c r="J421" s="115">
        <v>1790.58</v>
      </c>
      <c r="K421" s="115">
        <v>1892.59</v>
      </c>
      <c r="L421" s="115">
        <v>2112.47</v>
      </c>
      <c r="M421" s="115">
        <v>2289.15</v>
      </c>
      <c r="N421" s="115">
        <v>2291.58</v>
      </c>
      <c r="O421" s="115">
        <v>2805.37</v>
      </c>
      <c r="P421" s="115">
        <v>3104.96</v>
      </c>
      <c r="Q421" s="115">
        <f t="shared" si="34"/>
        <v>28282.02</v>
      </c>
      <c r="R421" s="108"/>
      <c r="S421" s="270"/>
      <c r="U421" s="253"/>
    </row>
    <row r="422" spans="1:21" ht="12.75">
      <c r="A422" s="116">
        <f t="shared" si="33"/>
        <v>416</v>
      </c>
      <c r="B422" s="111" t="s">
        <v>1097</v>
      </c>
      <c r="C422" s="111">
        <v>11282</v>
      </c>
      <c r="D422" s="122" t="s">
        <v>585</v>
      </c>
      <c r="E422" s="115">
        <v>1100.24</v>
      </c>
      <c r="F422" s="115">
        <v>1263.99</v>
      </c>
      <c r="G422" s="115">
        <v>873.0899999999999</v>
      </c>
      <c r="H422" s="115">
        <v>1602.2</v>
      </c>
      <c r="I422" s="115">
        <v>4.28</v>
      </c>
      <c r="J422" s="115">
        <v>721.32</v>
      </c>
      <c r="K422" s="115">
        <v>899.76</v>
      </c>
      <c r="L422" s="115">
        <v>1056.62</v>
      </c>
      <c r="M422" s="115">
        <v>1085.37</v>
      </c>
      <c r="N422" s="115">
        <v>1390.58</v>
      </c>
      <c r="O422" s="115">
        <v>1173.92</v>
      </c>
      <c r="P422" s="115">
        <v>1270.75</v>
      </c>
      <c r="Q422" s="115">
        <f t="shared" si="34"/>
        <v>12442.119999999999</v>
      </c>
      <c r="R422" s="108"/>
      <c r="S422" s="270"/>
      <c r="U422" s="253"/>
    </row>
    <row r="423" spans="1:21" ht="12.75">
      <c r="A423" s="116">
        <f t="shared" si="33"/>
        <v>417</v>
      </c>
      <c r="B423" s="111" t="s">
        <v>1098</v>
      </c>
      <c r="C423" s="111">
        <v>11283</v>
      </c>
      <c r="D423" s="129" t="s">
        <v>588</v>
      </c>
      <c r="E423" s="115">
        <v>4104.24</v>
      </c>
      <c r="F423" s="115">
        <v>4339.17</v>
      </c>
      <c r="G423" s="115">
        <v>3995.5800000000004</v>
      </c>
      <c r="H423" s="115">
        <v>4409.19</v>
      </c>
      <c r="I423" s="115">
        <v>2591.16</v>
      </c>
      <c r="J423" s="115">
        <v>2985.87</v>
      </c>
      <c r="K423" s="115">
        <v>2652.98</v>
      </c>
      <c r="L423" s="115">
        <v>3173.48</v>
      </c>
      <c r="M423" s="115">
        <v>4495.79</v>
      </c>
      <c r="N423" s="115">
        <v>3586.85</v>
      </c>
      <c r="O423" s="115">
        <v>5499.4</v>
      </c>
      <c r="P423" s="115">
        <v>4827.58</v>
      </c>
      <c r="Q423" s="115">
        <f t="shared" si="34"/>
        <v>46661.29</v>
      </c>
      <c r="R423" s="108"/>
      <c r="S423" s="270"/>
      <c r="U423" s="253"/>
    </row>
    <row r="424" spans="1:21" ht="12.75">
      <c r="A424" s="116">
        <f t="shared" si="33"/>
        <v>418</v>
      </c>
      <c r="B424" s="111" t="s">
        <v>1099</v>
      </c>
      <c r="C424" s="111">
        <v>11284</v>
      </c>
      <c r="D424" s="122" t="s">
        <v>585</v>
      </c>
      <c r="E424" s="115">
        <v>1731.4</v>
      </c>
      <c r="F424" s="115">
        <v>869.89</v>
      </c>
      <c r="G424" s="115">
        <v>742.72</v>
      </c>
      <c r="H424" s="115">
        <v>538.13</v>
      </c>
      <c r="I424" s="115">
        <v>361.79</v>
      </c>
      <c r="J424" s="115">
        <v>265.69</v>
      </c>
      <c r="K424" s="115">
        <v>278.99</v>
      </c>
      <c r="L424" s="115">
        <v>523.02</v>
      </c>
      <c r="M424" s="115">
        <v>669.3</v>
      </c>
      <c r="N424" s="115">
        <v>1283.63</v>
      </c>
      <c r="O424" s="115">
        <v>1343.89</v>
      </c>
      <c r="P424" s="115">
        <v>1580.1</v>
      </c>
      <c r="Q424" s="115">
        <f t="shared" si="34"/>
        <v>10188.55</v>
      </c>
      <c r="R424" s="108"/>
      <c r="S424" s="270"/>
      <c r="U424" s="253"/>
    </row>
    <row r="425" spans="1:21" ht="12.75">
      <c r="A425" s="116">
        <f t="shared" si="33"/>
        <v>419</v>
      </c>
      <c r="B425" s="111" t="s">
        <v>1100</v>
      </c>
      <c r="C425" s="111">
        <v>11286</v>
      </c>
      <c r="D425" s="122" t="s">
        <v>585</v>
      </c>
      <c r="E425" s="115">
        <v>2151.38</v>
      </c>
      <c r="F425" s="115">
        <v>1856.26</v>
      </c>
      <c r="G425" s="115">
        <v>1768.54</v>
      </c>
      <c r="H425" s="115">
        <v>1839.94</v>
      </c>
      <c r="I425" s="115">
        <v>1669.64</v>
      </c>
      <c r="J425" s="115">
        <v>1848.15</v>
      </c>
      <c r="K425" s="115">
        <v>1730.75</v>
      </c>
      <c r="L425" s="115">
        <v>1764.1</v>
      </c>
      <c r="M425" s="115">
        <v>1751.68</v>
      </c>
      <c r="N425" s="115">
        <v>3845.14</v>
      </c>
      <c r="O425" s="115">
        <v>2838.66</v>
      </c>
      <c r="P425" s="115">
        <v>3326.26</v>
      </c>
      <c r="Q425" s="115">
        <f t="shared" si="34"/>
        <v>26390.5</v>
      </c>
      <c r="R425" s="108"/>
      <c r="S425" s="270"/>
      <c r="U425" s="253"/>
    </row>
    <row r="426" spans="1:21" ht="12.75">
      <c r="A426" s="116">
        <f t="shared" si="33"/>
        <v>420</v>
      </c>
      <c r="B426" s="111" t="s">
        <v>1101</v>
      </c>
      <c r="C426" s="111">
        <v>11272</v>
      </c>
      <c r="D426" s="129" t="s">
        <v>588</v>
      </c>
      <c r="E426" s="115">
        <v>1230.12</v>
      </c>
      <c r="F426" s="115">
        <v>1075.2</v>
      </c>
      <c r="G426" s="115">
        <v>944.76</v>
      </c>
      <c r="H426" s="115">
        <v>810.94</v>
      </c>
      <c r="I426" s="115">
        <v>437.16</v>
      </c>
      <c r="J426" s="115">
        <v>454.62</v>
      </c>
      <c r="K426" s="115">
        <v>389.18</v>
      </c>
      <c r="L426" s="115">
        <v>649.7</v>
      </c>
      <c r="M426" s="115">
        <v>797.26</v>
      </c>
      <c r="N426" s="115">
        <v>688.23</v>
      </c>
      <c r="O426" s="115">
        <v>232.33</v>
      </c>
      <c r="P426" s="115">
        <v>309.19</v>
      </c>
      <c r="Q426" s="115">
        <f t="shared" si="34"/>
        <v>8018.69</v>
      </c>
      <c r="R426" s="108"/>
      <c r="S426" s="270"/>
      <c r="U426" s="253"/>
    </row>
    <row r="427" spans="1:21" ht="12.75">
      <c r="A427" s="116">
        <f t="shared" si="33"/>
        <v>421</v>
      </c>
      <c r="B427" s="111" t="s">
        <v>1102</v>
      </c>
      <c r="C427" s="111">
        <v>11288</v>
      </c>
      <c r="D427" s="122" t="s">
        <v>585</v>
      </c>
      <c r="E427" s="115">
        <v>1178.84</v>
      </c>
      <c r="F427" s="115">
        <v>1025.66</v>
      </c>
      <c r="G427" s="115">
        <v>630.4300000000001</v>
      </c>
      <c r="H427" s="115">
        <v>554.52</v>
      </c>
      <c r="I427" s="115">
        <v>392.43</v>
      </c>
      <c r="J427" s="115">
        <v>253.68</v>
      </c>
      <c r="K427" s="115">
        <v>476.56</v>
      </c>
      <c r="L427" s="115">
        <v>258.98</v>
      </c>
      <c r="M427" s="115">
        <v>473.57</v>
      </c>
      <c r="N427" s="115">
        <v>852.61</v>
      </c>
      <c r="O427" s="115">
        <v>894.7</v>
      </c>
      <c r="P427" s="115">
        <v>1048.57</v>
      </c>
      <c r="Q427" s="115">
        <f t="shared" si="34"/>
        <v>8040.549999999999</v>
      </c>
      <c r="R427" s="108"/>
      <c r="S427" s="270"/>
      <c r="U427" s="253"/>
    </row>
    <row r="428" spans="1:21" ht="12.75">
      <c r="A428" s="116">
        <f t="shared" si="33"/>
        <v>422</v>
      </c>
      <c r="B428" s="111" t="s">
        <v>1103</v>
      </c>
      <c r="C428" s="111">
        <v>11296</v>
      </c>
      <c r="D428" s="122" t="s">
        <v>585</v>
      </c>
      <c r="E428" s="115">
        <v>1368.07</v>
      </c>
      <c r="F428" s="115">
        <v>1004.94</v>
      </c>
      <c r="G428" s="115">
        <v>783.13</v>
      </c>
      <c r="H428" s="115">
        <v>825.05</v>
      </c>
      <c r="I428" s="115">
        <v>458.62</v>
      </c>
      <c r="J428" s="115">
        <v>527.38</v>
      </c>
      <c r="K428" s="115">
        <v>395.37</v>
      </c>
      <c r="L428" s="115">
        <v>463.45</v>
      </c>
      <c r="M428" s="115">
        <v>702.88</v>
      </c>
      <c r="N428" s="115">
        <v>1035.69</v>
      </c>
      <c r="O428" s="115">
        <v>1156.9</v>
      </c>
      <c r="P428" s="115">
        <v>1437.5</v>
      </c>
      <c r="Q428" s="115">
        <f t="shared" si="34"/>
        <v>10158.98</v>
      </c>
      <c r="R428" s="108"/>
      <c r="S428" s="270"/>
      <c r="U428" s="253"/>
    </row>
    <row r="429" spans="1:21" ht="12.75">
      <c r="A429" s="116">
        <f t="shared" si="33"/>
        <v>423</v>
      </c>
      <c r="B429" s="111" t="s">
        <v>1104</v>
      </c>
      <c r="C429" s="111">
        <v>11298</v>
      </c>
      <c r="D429" s="122" t="s">
        <v>585</v>
      </c>
      <c r="E429" s="115">
        <v>1083.67</v>
      </c>
      <c r="F429" s="115">
        <v>1174.18</v>
      </c>
      <c r="G429" s="115">
        <v>817.3199999999999</v>
      </c>
      <c r="H429" s="115">
        <v>653.09</v>
      </c>
      <c r="I429" s="115">
        <v>1250.14</v>
      </c>
      <c r="J429" s="115">
        <v>1359.66</v>
      </c>
      <c r="K429" s="115">
        <v>960.25</v>
      </c>
      <c r="L429" s="115">
        <v>848.01</v>
      </c>
      <c r="M429" s="115">
        <v>896.77</v>
      </c>
      <c r="N429" s="115">
        <v>1089.51</v>
      </c>
      <c r="O429" s="115">
        <v>1131.6</v>
      </c>
      <c r="P429" s="115">
        <v>1310.08</v>
      </c>
      <c r="Q429" s="115">
        <f t="shared" si="34"/>
        <v>12574.28</v>
      </c>
      <c r="R429" s="108"/>
      <c r="S429" s="270"/>
      <c r="U429" s="253"/>
    </row>
    <row r="430" spans="1:21" ht="12.75">
      <c r="A430" s="116">
        <f t="shared" si="33"/>
        <v>424</v>
      </c>
      <c r="B430" s="111" t="s">
        <v>1105</v>
      </c>
      <c r="C430" s="111">
        <v>11300</v>
      </c>
      <c r="D430" s="122" t="s">
        <v>585</v>
      </c>
      <c r="E430" s="115">
        <v>2013.31</v>
      </c>
      <c r="F430" s="115">
        <v>1695.57</v>
      </c>
      <c r="G430" s="115">
        <v>1119.62</v>
      </c>
      <c r="H430" s="115">
        <v>1170.3</v>
      </c>
      <c r="I430" s="115">
        <v>958.16</v>
      </c>
      <c r="J430" s="115">
        <v>787.41</v>
      </c>
      <c r="K430" s="115">
        <v>756.93</v>
      </c>
      <c r="L430" s="115">
        <v>872.85</v>
      </c>
      <c r="M430" s="115">
        <v>803.62</v>
      </c>
      <c r="N430" s="115">
        <v>2166.37</v>
      </c>
      <c r="O430" s="115">
        <v>1834.48</v>
      </c>
      <c r="P430" s="115">
        <v>1989.5</v>
      </c>
      <c r="Q430" s="115">
        <f t="shared" si="34"/>
        <v>16168.119999999999</v>
      </c>
      <c r="R430" s="108"/>
      <c r="S430" s="270"/>
      <c r="U430" s="253"/>
    </row>
    <row r="431" spans="1:21" ht="12.75">
      <c r="A431" s="116">
        <f t="shared" si="33"/>
        <v>425</v>
      </c>
      <c r="B431" s="111" t="s">
        <v>1106</v>
      </c>
      <c r="C431" s="141">
        <v>32302</v>
      </c>
      <c r="D431" s="122" t="s">
        <v>591</v>
      </c>
      <c r="E431" s="236"/>
      <c r="F431" s="114"/>
      <c r="G431" s="125"/>
      <c r="H431" s="114"/>
      <c r="I431" s="114"/>
      <c r="J431" s="114"/>
      <c r="K431" s="114"/>
      <c r="L431" s="114"/>
      <c r="N431" s="114"/>
      <c r="O431" s="114"/>
      <c r="P431" s="114"/>
      <c r="Q431" s="115">
        <f>E431+F431+G431+H431+I431+J431+K431+L431+M431+N431+O431+P431</f>
        <v>0</v>
      </c>
      <c r="R431" s="108"/>
      <c r="S431" s="270"/>
      <c r="U431" s="253"/>
    </row>
    <row r="432" spans="1:21" ht="12.75">
      <c r="A432" s="116">
        <f t="shared" si="33"/>
        <v>426</v>
      </c>
      <c r="B432" s="111" t="s">
        <v>1107</v>
      </c>
      <c r="C432" s="111">
        <v>11301</v>
      </c>
      <c r="D432" s="129" t="s">
        <v>588</v>
      </c>
      <c r="E432" s="115">
        <v>2555.1</v>
      </c>
      <c r="F432" s="115">
        <v>2999.35</v>
      </c>
      <c r="G432" s="114">
        <v>2128.65</v>
      </c>
      <c r="H432" s="115">
        <v>2186.18</v>
      </c>
      <c r="I432" s="115">
        <v>1910.34</v>
      </c>
      <c r="J432" s="115">
        <v>2338.98</v>
      </c>
      <c r="K432" s="115">
        <v>2079.89</v>
      </c>
      <c r="L432" s="115">
        <v>2248.25</v>
      </c>
      <c r="M432" s="114">
        <v>2639.71</v>
      </c>
      <c r="N432" s="115">
        <v>2860.74</v>
      </c>
      <c r="O432" s="115">
        <v>2822.79</v>
      </c>
      <c r="P432" s="115">
        <v>2964.93</v>
      </c>
      <c r="Q432" s="115">
        <f>E432+F432+G432+H432+I432+J432+K432+L432+M432+N432+O432+P432</f>
        <v>29734.909999999996</v>
      </c>
      <c r="R432" s="108"/>
      <c r="S432" s="270"/>
      <c r="U432" s="253"/>
    </row>
    <row r="433" spans="1:21" ht="12.75">
      <c r="A433" s="116">
        <f t="shared" si="33"/>
        <v>427</v>
      </c>
      <c r="B433" s="111" t="s">
        <v>1108</v>
      </c>
      <c r="C433" s="111">
        <v>11302</v>
      </c>
      <c r="D433" s="122" t="s">
        <v>585</v>
      </c>
      <c r="E433" s="115">
        <v>1507.93</v>
      </c>
      <c r="F433" s="115">
        <v>654.35</v>
      </c>
      <c r="G433" s="115">
        <v>1015.49</v>
      </c>
      <c r="H433" s="115">
        <v>858.56</v>
      </c>
      <c r="I433" s="115">
        <v>784.06</v>
      </c>
      <c r="J433" s="115">
        <v>756.39</v>
      </c>
      <c r="K433" s="115">
        <v>742.9</v>
      </c>
      <c r="L433" s="115">
        <v>898.84</v>
      </c>
      <c r="M433" s="115">
        <v>1261.55</v>
      </c>
      <c r="N433" s="115">
        <v>1485.8</v>
      </c>
      <c r="O433" s="115">
        <v>1449.69</v>
      </c>
      <c r="P433" s="115">
        <v>1721.78</v>
      </c>
      <c r="Q433" s="115">
        <f aca="true" t="shared" si="35" ref="Q433:Q496">E433+F433+G433+H433+I433+J433+K433+L433+M433+N433+O433+P433</f>
        <v>13137.34</v>
      </c>
      <c r="R433" s="108"/>
      <c r="S433" s="270"/>
      <c r="U433" s="253"/>
    </row>
    <row r="434" spans="1:21" ht="12.75">
      <c r="A434" s="116">
        <f t="shared" si="33"/>
        <v>428</v>
      </c>
      <c r="B434" s="111" t="s">
        <v>1109</v>
      </c>
      <c r="C434" s="111">
        <v>11303</v>
      </c>
      <c r="D434" s="122" t="s">
        <v>585</v>
      </c>
      <c r="E434" s="115">
        <v>1854.82</v>
      </c>
      <c r="F434" s="115">
        <v>1218.29</v>
      </c>
      <c r="G434" s="115">
        <v>1096.76</v>
      </c>
      <c r="H434" s="115">
        <v>828.12</v>
      </c>
      <c r="I434" s="115">
        <v>699.44</v>
      </c>
      <c r="J434" s="115">
        <v>829.73</v>
      </c>
      <c r="K434" s="115">
        <v>975.66</v>
      </c>
      <c r="L434" s="115">
        <v>1359.76</v>
      </c>
      <c r="M434" s="115">
        <v>1300.19</v>
      </c>
      <c r="N434" s="115">
        <v>1659.22</v>
      </c>
      <c r="O434" s="115">
        <v>1728.22</v>
      </c>
      <c r="P434" s="115">
        <v>3636.99</v>
      </c>
      <c r="Q434" s="115">
        <f t="shared" si="35"/>
        <v>17187.199999999997</v>
      </c>
      <c r="R434" s="108"/>
      <c r="S434" s="270"/>
      <c r="U434" s="253"/>
    </row>
    <row r="435" spans="1:21" ht="12.75">
      <c r="A435" s="116">
        <f t="shared" si="33"/>
        <v>429</v>
      </c>
      <c r="B435" s="111" t="s">
        <v>1110</v>
      </c>
      <c r="C435" s="111">
        <v>11342</v>
      </c>
      <c r="D435" s="122" t="s">
        <v>591</v>
      </c>
      <c r="E435" s="236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5">
        <f t="shared" si="35"/>
        <v>0</v>
      </c>
      <c r="R435" s="108"/>
      <c r="S435" s="270"/>
      <c r="U435" s="253"/>
    </row>
    <row r="436" spans="1:21" ht="12.75">
      <c r="A436" s="116">
        <f t="shared" si="33"/>
        <v>430</v>
      </c>
      <c r="B436" s="111" t="s">
        <v>1111</v>
      </c>
      <c r="C436" s="111">
        <v>11344</v>
      </c>
      <c r="D436" s="122" t="s">
        <v>585</v>
      </c>
      <c r="E436" s="115">
        <v>1675.03</v>
      </c>
      <c r="F436" s="115">
        <v>1547.28</v>
      </c>
      <c r="G436" s="115">
        <v>1116.55</v>
      </c>
      <c r="H436" s="115">
        <v>1087.57</v>
      </c>
      <c r="I436" s="115">
        <v>999.5</v>
      </c>
      <c r="J436" s="115">
        <v>1094.19</v>
      </c>
      <c r="K436" s="115">
        <v>971.75</v>
      </c>
      <c r="L436" s="115">
        <v>1049.49</v>
      </c>
      <c r="M436" s="114">
        <v>1684.98</v>
      </c>
      <c r="N436" s="115">
        <v>1734.66</v>
      </c>
      <c r="O436" s="115">
        <v>1652.78</v>
      </c>
      <c r="P436" s="115">
        <v>2076.21</v>
      </c>
      <c r="Q436" s="115">
        <f t="shared" si="35"/>
        <v>16689.989999999998</v>
      </c>
      <c r="R436" s="108"/>
      <c r="S436" s="270"/>
      <c r="U436" s="253"/>
    </row>
    <row r="437" spans="1:21" ht="12.75">
      <c r="A437" s="116">
        <f t="shared" si="33"/>
        <v>431</v>
      </c>
      <c r="B437" s="111" t="s">
        <v>1112</v>
      </c>
      <c r="C437" s="111">
        <v>11346</v>
      </c>
      <c r="D437" s="129" t="s">
        <v>588</v>
      </c>
      <c r="E437" s="115">
        <v>2067.45</v>
      </c>
      <c r="F437" s="115">
        <v>2596.19</v>
      </c>
      <c r="G437" s="115">
        <v>1842.79</v>
      </c>
      <c r="H437" s="115">
        <v>1815.02</v>
      </c>
      <c r="I437" s="115">
        <v>1809.33</v>
      </c>
      <c r="J437" s="115">
        <v>2769.94</v>
      </c>
      <c r="K437" s="115">
        <v>2382.57</v>
      </c>
      <c r="L437" s="115">
        <v>2244.57</v>
      </c>
      <c r="M437" s="115">
        <v>3090.97</v>
      </c>
      <c r="N437" s="115">
        <v>2746.43</v>
      </c>
      <c r="O437" s="115">
        <v>2389.47</v>
      </c>
      <c r="P437" s="115">
        <v>2430.87</v>
      </c>
      <c r="Q437" s="115">
        <f t="shared" si="35"/>
        <v>28185.600000000002</v>
      </c>
      <c r="S437" s="270"/>
      <c r="U437" s="253"/>
    </row>
    <row r="438" spans="1:21" ht="12.75">
      <c r="A438" s="116">
        <f t="shared" si="33"/>
        <v>432</v>
      </c>
      <c r="B438" s="111" t="s">
        <v>1113</v>
      </c>
      <c r="C438" s="111">
        <v>11348</v>
      </c>
      <c r="D438" s="122" t="s">
        <v>585</v>
      </c>
      <c r="E438" s="115">
        <v>1551.79</v>
      </c>
      <c r="F438" s="115">
        <v>1444.66</v>
      </c>
      <c r="G438" s="115">
        <v>1045.98</v>
      </c>
      <c r="H438" s="115">
        <v>980.72</v>
      </c>
      <c r="I438" s="115">
        <v>961.61</v>
      </c>
      <c r="J438" s="115">
        <v>825.78</v>
      </c>
      <c r="K438" s="115">
        <v>881.13</v>
      </c>
      <c r="L438" s="115">
        <v>860.66</v>
      </c>
      <c r="M438" s="115">
        <v>872.85</v>
      </c>
      <c r="N438" s="115">
        <v>2082.88</v>
      </c>
      <c r="O438" s="115">
        <v>1490.86</v>
      </c>
      <c r="P438" s="115">
        <v>1687.28</v>
      </c>
      <c r="Q438" s="115">
        <f t="shared" si="35"/>
        <v>14686.200000000003</v>
      </c>
      <c r="R438" s="108"/>
      <c r="S438" s="270"/>
      <c r="U438" s="253"/>
    </row>
    <row r="439" spans="1:21" ht="12.75">
      <c r="A439" s="116">
        <f t="shared" si="33"/>
        <v>433</v>
      </c>
      <c r="B439" s="111" t="s">
        <v>1114</v>
      </c>
      <c r="C439" s="111">
        <v>11350</v>
      </c>
      <c r="D439" s="122" t="s">
        <v>585</v>
      </c>
      <c r="E439" s="115">
        <v>2073.96</v>
      </c>
      <c r="F439" s="115">
        <v>1662.49</v>
      </c>
      <c r="G439" s="115">
        <v>1172.87</v>
      </c>
      <c r="H439" s="115">
        <v>1118.41</v>
      </c>
      <c r="I439" s="115">
        <v>921.55</v>
      </c>
      <c r="J439" s="115">
        <v>895.82</v>
      </c>
      <c r="K439" s="115">
        <v>984.63</v>
      </c>
      <c r="L439" s="115">
        <v>992.45</v>
      </c>
      <c r="M439" s="115">
        <v>1719.25</v>
      </c>
      <c r="N439" s="115">
        <v>1505.12</v>
      </c>
      <c r="O439" s="115">
        <v>1816.31</v>
      </c>
      <c r="P439" s="115">
        <v>2137.16</v>
      </c>
      <c r="Q439" s="115">
        <f t="shared" si="35"/>
        <v>17000.019999999997</v>
      </c>
      <c r="R439" s="108"/>
      <c r="S439" s="270"/>
      <c r="U439" s="253"/>
    </row>
    <row r="440" spans="1:21" ht="12.75">
      <c r="A440" s="116">
        <f t="shared" si="33"/>
        <v>434</v>
      </c>
      <c r="B440" s="111" t="s">
        <v>1115</v>
      </c>
      <c r="C440" s="111">
        <v>11352</v>
      </c>
      <c r="D440" s="122" t="s">
        <v>585</v>
      </c>
      <c r="E440" s="115">
        <v>2108.48</v>
      </c>
      <c r="F440" s="115">
        <v>2069.48</v>
      </c>
      <c r="G440" s="115">
        <v>1511.58</v>
      </c>
      <c r="H440" s="115">
        <v>1344.73</v>
      </c>
      <c r="I440" s="115">
        <v>1250.09</v>
      </c>
      <c r="J440" s="115">
        <v>1367.54</v>
      </c>
      <c r="K440" s="115">
        <v>1548.36</v>
      </c>
      <c r="L440" s="115">
        <v>1353.78</v>
      </c>
      <c r="M440" s="115">
        <v>1731.21</v>
      </c>
      <c r="N440" s="115">
        <v>2025.15</v>
      </c>
      <c r="O440" s="115">
        <v>1933.15</v>
      </c>
      <c r="P440" s="115">
        <v>2122.9</v>
      </c>
      <c r="Q440" s="115">
        <f t="shared" si="35"/>
        <v>20366.450000000004</v>
      </c>
      <c r="R440" s="108"/>
      <c r="S440" s="270"/>
      <c r="U440" s="253"/>
    </row>
    <row r="441" spans="1:21" ht="12.75">
      <c r="A441" s="116">
        <f t="shared" si="33"/>
        <v>435</v>
      </c>
      <c r="B441" s="111" t="s">
        <v>1116</v>
      </c>
      <c r="C441" s="111">
        <v>11354</v>
      </c>
      <c r="D441" s="122" t="s">
        <v>585</v>
      </c>
      <c r="E441" s="115">
        <v>558.73</v>
      </c>
      <c r="F441" s="115">
        <v>519.68</v>
      </c>
      <c r="G441" s="115">
        <v>432.96999999999997</v>
      </c>
      <c r="H441" s="115">
        <v>473.58</v>
      </c>
      <c r="I441" s="115">
        <v>472.22</v>
      </c>
      <c r="J441" s="115">
        <v>406.81</v>
      </c>
      <c r="K441" s="115">
        <v>558.67</v>
      </c>
      <c r="L441" s="115">
        <v>649.29</v>
      </c>
      <c r="M441" s="115">
        <v>759.69</v>
      </c>
      <c r="N441" s="115">
        <v>744.97</v>
      </c>
      <c r="O441" s="115">
        <v>768.43</v>
      </c>
      <c r="P441" s="115">
        <v>965.08</v>
      </c>
      <c r="Q441" s="115">
        <f t="shared" si="35"/>
        <v>7310.12</v>
      </c>
      <c r="R441" s="108"/>
      <c r="S441" s="270"/>
      <c r="U441" s="253"/>
    </row>
    <row r="442" spans="1:21" ht="12.75">
      <c r="A442" s="116">
        <f t="shared" si="33"/>
        <v>436</v>
      </c>
      <c r="B442" s="111" t="s">
        <v>1117</v>
      </c>
      <c r="C442" s="111">
        <v>11356</v>
      </c>
      <c r="D442" s="122" t="s">
        <v>585</v>
      </c>
      <c r="E442" s="115">
        <v>1631.65</v>
      </c>
      <c r="F442" s="115">
        <v>1536.63</v>
      </c>
      <c r="G442" s="115">
        <v>974.4000000000001</v>
      </c>
      <c r="H442" s="115">
        <v>822.96</v>
      </c>
      <c r="I442" s="115">
        <v>774.77</v>
      </c>
      <c r="J442" s="115">
        <v>778.22</v>
      </c>
      <c r="K442" s="115">
        <v>790.74</v>
      </c>
      <c r="L442" s="115">
        <v>773.72</v>
      </c>
      <c r="M442" s="115">
        <v>1217.62</v>
      </c>
      <c r="N442" s="115">
        <v>1335.15</v>
      </c>
      <c r="O442" s="115">
        <v>1752.37</v>
      </c>
      <c r="P442" s="115">
        <v>1946.03</v>
      </c>
      <c r="Q442" s="115">
        <f t="shared" si="35"/>
        <v>14334.26</v>
      </c>
      <c r="R442" s="108"/>
      <c r="S442" s="270"/>
      <c r="U442" s="253"/>
    </row>
    <row r="443" spans="1:21" ht="12.75">
      <c r="A443" s="116">
        <f t="shared" si="33"/>
        <v>437</v>
      </c>
      <c r="B443" s="111" t="s">
        <v>1118</v>
      </c>
      <c r="C443" s="111">
        <v>11358</v>
      </c>
      <c r="D443" s="129" t="s">
        <v>588</v>
      </c>
      <c r="E443" s="115">
        <v>824.83</v>
      </c>
      <c r="F443" s="115">
        <v>933.47</v>
      </c>
      <c r="G443" s="115">
        <v>732.43</v>
      </c>
      <c r="H443" s="115">
        <v>792.78</v>
      </c>
      <c r="I443" s="115">
        <v>837.57</v>
      </c>
      <c r="J443" s="115">
        <v>870.98</v>
      </c>
      <c r="K443" s="115">
        <v>876.76</v>
      </c>
      <c r="L443" s="115">
        <v>790.28</v>
      </c>
      <c r="M443" s="115">
        <v>968.3</v>
      </c>
      <c r="N443" s="115">
        <v>938.63</v>
      </c>
      <c r="O443" s="115">
        <v>823.86</v>
      </c>
      <c r="P443" s="115">
        <v>1106.07</v>
      </c>
      <c r="Q443" s="115">
        <f t="shared" si="35"/>
        <v>10495.96</v>
      </c>
      <c r="R443" s="108"/>
      <c r="S443" s="270"/>
      <c r="U443" s="253"/>
    </row>
    <row r="444" spans="1:21" ht="12.75">
      <c r="A444" s="116">
        <f t="shared" si="33"/>
        <v>438</v>
      </c>
      <c r="B444" s="111" t="s">
        <v>1119</v>
      </c>
      <c r="C444" s="111">
        <v>11430</v>
      </c>
      <c r="D444" s="122" t="s">
        <v>585</v>
      </c>
      <c r="E444" s="115">
        <v>1427.01</v>
      </c>
      <c r="F444" s="115">
        <v>1239.59</v>
      </c>
      <c r="G444" s="115">
        <v>993.13</v>
      </c>
      <c r="H444" s="115">
        <v>922.03</v>
      </c>
      <c r="I444" s="115">
        <v>823.26</v>
      </c>
      <c r="J444" s="115">
        <v>672.5</v>
      </c>
      <c r="K444" s="115">
        <v>607.89</v>
      </c>
      <c r="L444" s="115">
        <v>563.73</v>
      </c>
      <c r="M444" s="115">
        <v>988.77</v>
      </c>
      <c r="N444" s="115">
        <v>0</v>
      </c>
      <c r="O444" s="115">
        <v>657.57</v>
      </c>
      <c r="P444" s="115">
        <v>1487.87</v>
      </c>
      <c r="Q444" s="115">
        <f t="shared" si="35"/>
        <v>10383.350000000002</v>
      </c>
      <c r="R444" s="108"/>
      <c r="S444" s="270"/>
      <c r="U444" s="253"/>
    </row>
    <row r="445" spans="1:21" ht="12.75">
      <c r="A445" s="116">
        <f t="shared" si="33"/>
        <v>439</v>
      </c>
      <c r="B445" s="111" t="s">
        <v>1120</v>
      </c>
      <c r="C445" s="111">
        <v>11434</v>
      </c>
      <c r="D445" s="122" t="s">
        <v>585</v>
      </c>
      <c r="E445" s="115">
        <v>1958.6</v>
      </c>
      <c r="F445" s="115">
        <v>1898.5</v>
      </c>
      <c r="G445" s="115">
        <v>1597.13</v>
      </c>
      <c r="H445" s="115">
        <v>1178.71</v>
      </c>
      <c r="I445" s="115">
        <v>1171.66</v>
      </c>
      <c r="J445" s="115">
        <v>860.22</v>
      </c>
      <c r="K445" s="115">
        <v>979.34</v>
      </c>
      <c r="L445" s="115">
        <v>1310.77</v>
      </c>
      <c r="M445" s="115">
        <v>2258.83</v>
      </c>
      <c r="N445" s="115">
        <v>1950.4</v>
      </c>
      <c r="O445" s="115">
        <v>2115.08</v>
      </c>
      <c r="P445" s="115">
        <v>2364.86</v>
      </c>
      <c r="Q445" s="115">
        <f t="shared" si="35"/>
        <v>19644.1</v>
      </c>
      <c r="R445" s="108"/>
      <c r="S445" s="270"/>
      <c r="U445" s="253"/>
    </row>
    <row r="446" spans="1:21" ht="14.25" customHeight="1">
      <c r="A446" s="116">
        <f t="shared" si="33"/>
        <v>440</v>
      </c>
      <c r="B446" s="111" t="s">
        <v>1121</v>
      </c>
      <c r="C446" s="111">
        <v>11436</v>
      </c>
      <c r="D446" s="122" t="s">
        <v>585</v>
      </c>
      <c r="E446" s="115">
        <v>2093.5</v>
      </c>
      <c r="F446" s="115">
        <v>2017.64</v>
      </c>
      <c r="G446" s="115">
        <v>1314.82</v>
      </c>
      <c r="H446" s="115">
        <v>1286.57</v>
      </c>
      <c r="I446" s="115">
        <v>1169.37</v>
      </c>
      <c r="J446" s="115">
        <v>1232.06</v>
      </c>
      <c r="K446" s="115">
        <v>1490.86</v>
      </c>
      <c r="L446" s="115">
        <v>1297.2</v>
      </c>
      <c r="M446" s="115">
        <v>1782.04</v>
      </c>
      <c r="N446" s="115">
        <v>1904.86</v>
      </c>
      <c r="O446" s="115">
        <v>1914.29</v>
      </c>
      <c r="P446" s="115">
        <v>2153.49</v>
      </c>
      <c r="Q446" s="115">
        <f t="shared" si="35"/>
        <v>19656.700000000004</v>
      </c>
      <c r="R446" s="108"/>
      <c r="S446" s="270"/>
      <c r="U446" s="253"/>
    </row>
    <row r="447" spans="1:21" ht="12.75">
      <c r="A447" s="116">
        <f t="shared" si="33"/>
        <v>441</v>
      </c>
      <c r="B447" s="111" t="s">
        <v>1122</v>
      </c>
      <c r="C447" s="111">
        <v>11438</v>
      </c>
      <c r="D447" s="122" t="s">
        <v>585</v>
      </c>
      <c r="E447" s="115">
        <v>1915.85</v>
      </c>
      <c r="F447" s="115">
        <v>470.66</v>
      </c>
      <c r="G447" s="115">
        <v>1763.15</v>
      </c>
      <c r="H447" s="115">
        <v>1187.22</v>
      </c>
      <c r="I447" s="115">
        <v>1418.8</v>
      </c>
      <c r="J447" s="115">
        <v>1496.95</v>
      </c>
      <c r="K447" s="115">
        <v>1322.96</v>
      </c>
      <c r="L447" s="115">
        <v>1412.66</v>
      </c>
      <c r="M447" s="115">
        <v>2042.86</v>
      </c>
      <c r="N447" s="115">
        <v>2095.07</v>
      </c>
      <c r="O447" s="115">
        <v>1971.1</v>
      </c>
      <c r="P447" s="115">
        <v>2235.6</v>
      </c>
      <c r="Q447" s="115">
        <f t="shared" si="35"/>
        <v>19332.879999999997</v>
      </c>
      <c r="R447" s="108"/>
      <c r="S447" s="270"/>
      <c r="U447" s="253"/>
    </row>
    <row r="448" spans="1:21" ht="12.75">
      <c r="A448" s="116">
        <f t="shared" si="33"/>
        <v>442</v>
      </c>
      <c r="B448" s="111" t="s">
        <v>1123</v>
      </c>
      <c r="C448" s="111">
        <v>11440</v>
      </c>
      <c r="D448" s="129" t="s">
        <v>588</v>
      </c>
      <c r="E448" s="115">
        <v>2563.56</v>
      </c>
      <c r="F448" s="115">
        <v>2598.48</v>
      </c>
      <c r="G448" s="115">
        <v>2115.18</v>
      </c>
      <c r="H448" s="115">
        <v>2194.79</v>
      </c>
      <c r="I448" s="115">
        <v>2110.95</v>
      </c>
      <c r="J448" s="115">
        <v>2298.52</v>
      </c>
      <c r="K448" s="115">
        <v>2770.81</v>
      </c>
      <c r="L448" s="115">
        <v>2225.48</v>
      </c>
      <c r="M448" s="115">
        <v>2350.37</v>
      </c>
      <c r="N448" s="115">
        <v>3982.22</v>
      </c>
      <c r="O448" s="115">
        <v>2755.17</v>
      </c>
      <c r="P448" s="115">
        <v>3236.33</v>
      </c>
      <c r="Q448" s="115">
        <f t="shared" si="35"/>
        <v>31201.86</v>
      </c>
      <c r="R448" s="108"/>
      <c r="S448" s="270"/>
      <c r="U448" s="253"/>
    </row>
    <row r="449" spans="1:21" ht="12.75">
      <c r="A449" s="116">
        <f t="shared" si="33"/>
        <v>443</v>
      </c>
      <c r="B449" s="111" t="s">
        <v>1124</v>
      </c>
      <c r="C449" s="111">
        <v>11442</v>
      </c>
      <c r="D449" s="122" t="s">
        <v>585</v>
      </c>
      <c r="E449" s="115">
        <v>1129.67</v>
      </c>
      <c r="F449" s="115">
        <v>1080.75</v>
      </c>
      <c r="G449" s="115">
        <v>813.52</v>
      </c>
      <c r="H449" s="115">
        <v>753.17</v>
      </c>
      <c r="I449" s="115">
        <v>733.33</v>
      </c>
      <c r="J449" s="115">
        <v>697.73</v>
      </c>
      <c r="K449" s="115">
        <v>750.72</v>
      </c>
      <c r="L449" s="115">
        <v>698.51</v>
      </c>
      <c r="M449" s="115">
        <v>965.77</v>
      </c>
      <c r="N449" s="115">
        <v>1082.15</v>
      </c>
      <c r="O449" s="115">
        <v>1081.92</v>
      </c>
      <c r="P449" s="115">
        <v>1424.62</v>
      </c>
      <c r="Q449" s="115">
        <f t="shared" si="35"/>
        <v>11211.86</v>
      </c>
      <c r="R449" s="108"/>
      <c r="S449" s="270"/>
      <c r="U449" s="253"/>
    </row>
    <row r="450" spans="1:21" ht="12.75">
      <c r="A450" s="116">
        <f t="shared" si="33"/>
        <v>444</v>
      </c>
      <c r="B450" s="111" t="s">
        <v>1125</v>
      </c>
      <c r="C450" s="111">
        <v>11444</v>
      </c>
      <c r="D450" s="122" t="s">
        <v>709</v>
      </c>
      <c r="E450" s="115">
        <v>1012.77</v>
      </c>
      <c r="F450" s="115">
        <v>1156.23</v>
      </c>
      <c r="G450" s="115">
        <v>956.4000000000001</v>
      </c>
      <c r="H450" s="115">
        <v>291.04</v>
      </c>
      <c r="I450" s="115">
        <v>618.47</v>
      </c>
      <c r="J450" s="115">
        <v>739.07</v>
      </c>
      <c r="K450" s="115">
        <v>890.79</v>
      </c>
      <c r="L450" s="115">
        <v>846.63</v>
      </c>
      <c r="M450" s="115">
        <v>1230.5</v>
      </c>
      <c r="N450" s="115">
        <v>1143.79</v>
      </c>
      <c r="O450" s="115">
        <v>1102.39</v>
      </c>
      <c r="P450" s="115">
        <v>1340.9</v>
      </c>
      <c r="Q450" s="115">
        <f t="shared" si="35"/>
        <v>11328.979999999998</v>
      </c>
      <c r="R450" s="108"/>
      <c r="S450" s="270"/>
      <c r="U450" s="253"/>
    </row>
    <row r="451" spans="1:21" ht="12.75">
      <c r="A451" s="116">
        <f t="shared" si="33"/>
        <v>445</v>
      </c>
      <c r="B451" s="111" t="s">
        <v>1126</v>
      </c>
      <c r="C451" s="111">
        <v>11446</v>
      </c>
      <c r="D451" s="122" t="s">
        <v>585</v>
      </c>
      <c r="E451" s="115">
        <v>2074.69</v>
      </c>
      <c r="F451" s="115">
        <v>1998.35</v>
      </c>
      <c r="G451" s="115">
        <v>1330.15</v>
      </c>
      <c r="H451" s="115">
        <v>1174.73</v>
      </c>
      <c r="I451" s="115">
        <v>975.63</v>
      </c>
      <c r="J451" s="115">
        <v>1124.2</v>
      </c>
      <c r="K451" s="115">
        <v>1342.97</v>
      </c>
      <c r="L451" s="115">
        <v>880.67</v>
      </c>
      <c r="M451" s="115">
        <v>1684.98</v>
      </c>
      <c r="N451" s="115">
        <v>2098.29</v>
      </c>
      <c r="O451" s="115">
        <v>2185</v>
      </c>
      <c r="P451" s="115">
        <v>2417.3</v>
      </c>
      <c r="Q451" s="115">
        <f t="shared" si="35"/>
        <v>19286.96</v>
      </c>
      <c r="R451" s="108"/>
      <c r="S451" s="270"/>
      <c r="U451" s="253"/>
    </row>
    <row r="452" spans="1:21" ht="12.75">
      <c r="A452" s="116">
        <f t="shared" si="33"/>
        <v>446</v>
      </c>
      <c r="B452" s="111" t="s">
        <v>1127</v>
      </c>
      <c r="C452" s="111">
        <v>11448</v>
      </c>
      <c r="D452" s="122" t="s">
        <v>585</v>
      </c>
      <c r="E452" s="115">
        <v>2454.99</v>
      </c>
      <c r="F452" s="115">
        <v>3051.56</v>
      </c>
      <c r="G452" s="115">
        <v>1792.9299999999998</v>
      </c>
      <c r="H452" s="115">
        <v>1480.48</v>
      </c>
      <c r="I452" s="115">
        <v>1402.08</v>
      </c>
      <c r="J452" s="115">
        <v>947.91</v>
      </c>
      <c r="K452" s="115">
        <v>1029.25</v>
      </c>
      <c r="L452" s="115">
        <v>1130.22</v>
      </c>
      <c r="M452" s="115">
        <v>1703.61</v>
      </c>
      <c r="N452" s="115">
        <v>2016.18</v>
      </c>
      <c r="O452" s="115">
        <v>2338.64</v>
      </c>
      <c r="P452" s="115">
        <v>2494.35</v>
      </c>
      <c r="Q452" s="115">
        <f t="shared" si="35"/>
        <v>21842.199999999997</v>
      </c>
      <c r="R452" s="108"/>
      <c r="S452" s="270"/>
      <c r="U452" s="253"/>
    </row>
    <row r="453" spans="1:21" ht="12.75">
      <c r="A453" s="116">
        <f t="shared" si="33"/>
        <v>447</v>
      </c>
      <c r="B453" s="111" t="s">
        <v>1128</v>
      </c>
      <c r="C453" s="111">
        <v>11450</v>
      </c>
      <c r="D453" s="129" t="s">
        <v>588</v>
      </c>
      <c r="E453" s="115">
        <v>26369.53</v>
      </c>
      <c r="F453" s="115">
        <v>28201.24</v>
      </c>
      <c r="G453" s="115">
        <v>21333.8</v>
      </c>
      <c r="H453" s="115">
        <v>22818.27</v>
      </c>
      <c r="I453" s="115">
        <v>21537.11</v>
      </c>
      <c r="J453" s="115">
        <v>12991.06</v>
      </c>
      <c r="K453" s="115">
        <v>14579.93</v>
      </c>
      <c r="L453" s="115">
        <v>13465.58</v>
      </c>
      <c r="M453" s="115">
        <v>26975.32</v>
      </c>
      <c r="N453" s="115">
        <v>69138.92</v>
      </c>
      <c r="O453" s="115">
        <v>55964.06</v>
      </c>
      <c r="P453" s="115">
        <v>61199.55</v>
      </c>
      <c r="Q453" s="115">
        <f t="shared" si="35"/>
        <v>374574.37</v>
      </c>
      <c r="R453" s="108"/>
      <c r="S453" s="270"/>
      <c r="U453" s="253"/>
    </row>
    <row r="454" spans="1:21" ht="12.75">
      <c r="A454" s="116">
        <f t="shared" si="33"/>
        <v>448</v>
      </c>
      <c r="B454" s="111" t="s">
        <v>688</v>
      </c>
      <c r="C454" s="117">
        <v>23021</v>
      </c>
      <c r="D454" s="128" t="s">
        <v>717</v>
      </c>
      <c r="E454" s="231">
        <v>0</v>
      </c>
      <c r="F454" s="231">
        <v>0</v>
      </c>
      <c r="G454" s="231">
        <v>0</v>
      </c>
      <c r="H454" s="231">
        <v>0</v>
      </c>
      <c r="I454" s="231">
        <v>0</v>
      </c>
      <c r="J454" s="231">
        <v>0</v>
      </c>
      <c r="K454" s="231">
        <v>0</v>
      </c>
      <c r="L454" s="231">
        <v>0</v>
      </c>
      <c r="M454" s="231">
        <v>0</v>
      </c>
      <c r="N454" s="231">
        <v>0</v>
      </c>
      <c r="O454" s="231">
        <v>0</v>
      </c>
      <c r="P454" s="231"/>
      <c r="Q454" s="115">
        <f t="shared" si="35"/>
        <v>0</v>
      </c>
      <c r="R454" s="108" t="s">
        <v>732</v>
      </c>
      <c r="S454" s="270"/>
      <c r="U454" s="253"/>
    </row>
    <row r="455" spans="1:21" ht="12.75">
      <c r="A455" s="116">
        <f t="shared" si="33"/>
        <v>449</v>
      </c>
      <c r="B455" s="111" t="s">
        <v>1129</v>
      </c>
      <c r="C455" s="12">
        <v>23024</v>
      </c>
      <c r="D455" s="233" t="s">
        <v>1130</v>
      </c>
      <c r="E455" s="125"/>
      <c r="F455" s="125"/>
      <c r="G455" s="125"/>
      <c r="H455" s="125"/>
      <c r="I455" s="125"/>
      <c r="J455" s="125"/>
      <c r="K455" s="125"/>
      <c r="L455" s="125">
        <v>180.54</v>
      </c>
      <c r="M455" s="236"/>
      <c r="N455" s="236"/>
      <c r="O455" s="236"/>
      <c r="P455" s="236"/>
      <c r="Q455" s="115">
        <f t="shared" si="35"/>
        <v>180.54</v>
      </c>
      <c r="R455" s="108" t="s">
        <v>274</v>
      </c>
      <c r="S455" s="272"/>
      <c r="U455" s="253"/>
    </row>
    <row r="456" spans="1:21" ht="12.75">
      <c r="A456" s="116">
        <f t="shared" si="33"/>
        <v>450</v>
      </c>
      <c r="B456" s="111" t="s">
        <v>610</v>
      </c>
      <c r="C456" s="117"/>
      <c r="D456" s="12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5">
        <f t="shared" si="35"/>
        <v>0</v>
      </c>
      <c r="R456" s="99" t="s">
        <v>284</v>
      </c>
      <c r="S456" s="270"/>
      <c r="U456" s="253"/>
    </row>
    <row r="457" spans="1:21" ht="12.75">
      <c r="A457" s="116">
        <f aca="true" t="shared" si="36" ref="A457:A520">A456+1</f>
        <v>451</v>
      </c>
      <c r="B457" s="111" t="s">
        <v>690</v>
      </c>
      <c r="C457" s="121">
        <v>23708</v>
      </c>
      <c r="D457" s="122" t="s">
        <v>717</v>
      </c>
      <c r="E457" s="151">
        <v>0</v>
      </c>
      <c r="F457" s="151">
        <v>0</v>
      </c>
      <c r="G457" s="151">
        <v>0</v>
      </c>
      <c r="H457" s="151">
        <v>0</v>
      </c>
      <c r="I457" s="151">
        <v>0</v>
      </c>
      <c r="J457" s="151">
        <v>0</v>
      </c>
      <c r="K457" s="151">
        <v>0</v>
      </c>
      <c r="L457" s="151">
        <v>0</v>
      </c>
      <c r="M457" s="151">
        <v>0</v>
      </c>
      <c r="N457" s="151">
        <v>0</v>
      </c>
      <c r="O457" s="231">
        <v>0</v>
      </c>
      <c r="P457" s="231"/>
      <c r="Q457" s="115">
        <f t="shared" si="35"/>
        <v>0</v>
      </c>
      <c r="R457" s="124" t="s">
        <v>723</v>
      </c>
      <c r="S457" s="270"/>
      <c r="U457" s="253"/>
    </row>
    <row r="458" spans="1:21" ht="12.75">
      <c r="A458" s="116">
        <f t="shared" si="36"/>
        <v>452</v>
      </c>
      <c r="B458" s="111" t="s">
        <v>1131</v>
      </c>
      <c r="C458" s="111">
        <v>23716</v>
      </c>
      <c r="D458" s="122">
        <v>1</v>
      </c>
      <c r="E458" s="113">
        <f>ROUND(0.04*521.42,0)*3.53</f>
        <v>74.13</v>
      </c>
      <c r="F458" s="114">
        <f>ROUND(0.04*409.08,0)*3.53</f>
        <v>56.48</v>
      </c>
      <c r="G458" s="114">
        <f>ROUND(0.04*366.33,0)*3.53</f>
        <v>52.949999999999996</v>
      </c>
      <c r="H458" s="114">
        <f>ROUND(0.04*254.17,0)*3.53</f>
        <v>35.3</v>
      </c>
      <c r="I458" s="114">
        <f>ROUND(0.04*168.83,0)*3.53</f>
        <v>24.709999999999997</v>
      </c>
      <c r="J458" s="114">
        <f>ROUND(0.04*102.5,0)*3.53</f>
        <v>14.12</v>
      </c>
      <c r="K458" s="114">
        <f>ROUND(0.04*143.25,0)*3.84</f>
        <v>23.04</v>
      </c>
      <c r="L458" s="114">
        <f>(0.04*235.08)*3.84</f>
        <v>36.108288</v>
      </c>
      <c r="M458" s="114">
        <f>(0.04*314.166)*3.84</f>
        <v>48.2558976</v>
      </c>
      <c r="N458" s="261">
        <f>(0.04*430.833)*3.84</f>
        <v>66.17594880000001</v>
      </c>
      <c r="O458" s="261"/>
      <c r="P458" s="261"/>
      <c r="Q458" s="115">
        <f t="shared" si="35"/>
        <v>431.27013439999996</v>
      </c>
      <c r="R458" s="108" t="s">
        <v>869</v>
      </c>
      <c r="S458" s="270"/>
      <c r="U458" s="253"/>
    </row>
    <row r="459" spans="1:21" ht="12.75">
      <c r="A459" s="116">
        <f t="shared" si="36"/>
        <v>453</v>
      </c>
      <c r="B459" s="111" t="s">
        <v>1132</v>
      </c>
      <c r="C459" s="9">
        <v>21719</v>
      </c>
      <c r="D459" s="233" t="s">
        <v>1133</v>
      </c>
      <c r="E459" s="125"/>
      <c r="F459" s="125"/>
      <c r="G459" s="125"/>
      <c r="H459" s="125"/>
      <c r="I459" s="125"/>
      <c r="J459" s="114">
        <f>ROUND(0.04*102.5,0)*3.53</f>
        <v>14.12</v>
      </c>
      <c r="K459" s="114">
        <f>ROUND(0.04*143.25,0)*3.84</f>
        <v>23.04</v>
      </c>
      <c r="L459" s="114">
        <f>(0.04*235.08)*3.84</f>
        <v>36.108288</v>
      </c>
      <c r="M459" s="114">
        <f>(0.04*314.166)*3.84</f>
        <v>48.2558976</v>
      </c>
      <c r="N459" s="261">
        <f>(0.04*430.833)*3.84</f>
        <v>66.17594880000001</v>
      </c>
      <c r="O459" s="261"/>
      <c r="P459" s="261"/>
      <c r="Q459" s="115">
        <f t="shared" si="35"/>
        <v>187.70013440000002</v>
      </c>
      <c r="R459" s="99" t="s">
        <v>867</v>
      </c>
      <c r="S459" s="270"/>
      <c r="U459" s="253"/>
    </row>
    <row r="460" spans="1:21" ht="12.75">
      <c r="A460" s="116">
        <f t="shared" si="36"/>
        <v>454</v>
      </c>
      <c r="B460" s="111" t="s">
        <v>1134</v>
      </c>
      <c r="C460" s="9">
        <v>23720</v>
      </c>
      <c r="D460" s="233" t="s">
        <v>1133</v>
      </c>
      <c r="E460" s="125"/>
      <c r="F460" s="125"/>
      <c r="G460" s="125"/>
      <c r="H460" s="125"/>
      <c r="I460" s="125"/>
      <c r="J460" s="114">
        <f>ROUND(0.04*102.5,0)*3.53</f>
        <v>14.12</v>
      </c>
      <c r="K460" s="114">
        <f>ROUND(0.04*143.25,0)*3.84</f>
        <v>23.04</v>
      </c>
      <c r="L460" s="114">
        <f>(0.04*235.08)*3.84</f>
        <v>36.108288</v>
      </c>
      <c r="M460" s="114">
        <f>(0.04*314.166)*3.84</f>
        <v>48.2558976</v>
      </c>
      <c r="N460" s="119"/>
      <c r="O460" s="119"/>
      <c r="P460" s="119"/>
      <c r="Q460" s="115">
        <f t="shared" si="35"/>
        <v>121.5241856</v>
      </c>
      <c r="R460" s="267" t="s">
        <v>868</v>
      </c>
      <c r="S460" s="270"/>
      <c r="U460" s="253"/>
    </row>
    <row r="461" spans="1:21" ht="12.75">
      <c r="A461" s="116">
        <f t="shared" si="36"/>
        <v>455</v>
      </c>
      <c r="B461" s="111" t="s">
        <v>632</v>
      </c>
      <c r="C461" s="12">
        <v>10022</v>
      </c>
      <c r="D461" s="122" t="s">
        <v>583</v>
      </c>
      <c r="E461" s="115">
        <v>11889.11</v>
      </c>
      <c r="F461" s="115">
        <v>11805.95</v>
      </c>
      <c r="G461" s="125">
        <v>11178.77</v>
      </c>
      <c r="H461" s="125">
        <v>10920.66</v>
      </c>
      <c r="I461" s="125">
        <v>10945.56</v>
      </c>
      <c r="J461" s="125">
        <v>11131.14</v>
      </c>
      <c r="K461" s="125">
        <v>12978.67</v>
      </c>
      <c r="L461" s="125">
        <v>11172.25</v>
      </c>
      <c r="M461" s="125">
        <v>13430.62</v>
      </c>
      <c r="N461" s="125">
        <v>13889.93</v>
      </c>
      <c r="O461" s="125">
        <v>10174.05</v>
      </c>
      <c r="P461" s="125">
        <v>13349.43</v>
      </c>
      <c r="Q461" s="115">
        <f t="shared" si="35"/>
        <v>142866.14</v>
      </c>
      <c r="S461" s="270"/>
      <c r="U461" s="253"/>
    </row>
    <row r="462" spans="1:21" ht="12.75">
      <c r="A462" s="116">
        <f t="shared" si="36"/>
        <v>456</v>
      </c>
      <c r="B462" s="111" t="s">
        <v>1135</v>
      </c>
      <c r="C462" s="9">
        <v>21469</v>
      </c>
      <c r="D462" s="128">
        <v>2</v>
      </c>
      <c r="E462" s="113">
        <f>ROUND(0.04*521.42,0)*3.53*2</f>
        <v>148.26</v>
      </c>
      <c r="F462" s="119">
        <f>ROUND(0.04*409.08,0)*3.53*2</f>
        <v>112.96</v>
      </c>
      <c r="G462" s="119">
        <f>ROUND(0.04*366.33,0)*3.53*2</f>
        <v>105.89999999999999</v>
      </c>
      <c r="H462" s="119">
        <f>ROUND(0.04*254.17,0)*3.53*2</f>
        <v>70.6</v>
      </c>
      <c r="I462" s="119">
        <f>ROUND(0.04*168.83,0)*3.53*2</f>
        <v>49.419999999999995</v>
      </c>
      <c r="J462" s="119">
        <f>ROUND(0.04*102.5,0)*3.53*2</f>
        <v>28.24</v>
      </c>
      <c r="K462" s="119">
        <f>ROUND(0.04*143.25,0)*3.84*2</f>
        <v>46.08</v>
      </c>
      <c r="L462" s="114">
        <f>(0.04*235.08)*3.84*2</f>
        <v>72.216576</v>
      </c>
      <c r="M462" s="131">
        <f>24.5*2.83*3.84</f>
        <v>266.2464</v>
      </c>
      <c r="N462" s="131">
        <f>24.5*2.83*3.84</f>
        <v>266.2464</v>
      </c>
      <c r="O462" s="119"/>
      <c r="P462" s="119"/>
      <c r="Q462" s="115">
        <f t="shared" si="35"/>
        <v>1166.1693759999998</v>
      </c>
      <c r="R462" s="162" t="s">
        <v>1136</v>
      </c>
      <c r="S462" s="270"/>
      <c r="U462" s="253"/>
    </row>
    <row r="463" spans="1:21" ht="12.75">
      <c r="A463" s="116">
        <f t="shared" si="36"/>
        <v>457</v>
      </c>
      <c r="B463" s="111" t="s">
        <v>691</v>
      </c>
      <c r="C463" s="9">
        <v>21467</v>
      </c>
      <c r="D463" s="230" t="s">
        <v>717</v>
      </c>
      <c r="E463" s="125"/>
      <c r="F463" s="125"/>
      <c r="G463" s="125"/>
      <c r="H463" s="151">
        <v>0</v>
      </c>
      <c r="I463" s="151">
        <v>0</v>
      </c>
      <c r="J463" s="151">
        <v>0</v>
      </c>
      <c r="K463" s="151">
        <v>0</v>
      </c>
      <c r="L463" s="151">
        <v>0</v>
      </c>
      <c r="M463" s="151">
        <v>0</v>
      </c>
      <c r="N463" s="231">
        <v>0</v>
      </c>
      <c r="O463" s="231">
        <v>0</v>
      </c>
      <c r="P463" s="231"/>
      <c r="Q463" s="115">
        <f t="shared" si="35"/>
        <v>0</v>
      </c>
      <c r="S463" s="270"/>
      <c r="U463" s="253"/>
    </row>
    <row r="464" spans="1:21" ht="12.75">
      <c r="A464" s="116">
        <f t="shared" si="36"/>
        <v>458</v>
      </c>
      <c r="B464" s="111" t="s">
        <v>1137</v>
      </c>
      <c r="C464" s="9">
        <v>10028</v>
      </c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15">
        <f t="shared" si="35"/>
        <v>0</v>
      </c>
      <c r="R464" s="124" t="s">
        <v>290</v>
      </c>
      <c r="S464" s="270"/>
      <c r="U464" s="253"/>
    </row>
    <row r="465" spans="1:21" ht="12.75">
      <c r="A465" s="116">
        <f t="shared" si="36"/>
        <v>459</v>
      </c>
      <c r="B465" s="111" t="s">
        <v>1138</v>
      </c>
      <c r="C465" s="9">
        <v>21481</v>
      </c>
      <c r="D465" s="122">
        <v>2</v>
      </c>
      <c r="E465" s="113">
        <f>ROUND(0.04*521.42,0)*3.53*2</f>
        <v>148.26</v>
      </c>
      <c r="F465" s="114">
        <f>ROUND(0.04*409.08,0)*3.53*2</f>
        <v>112.96</v>
      </c>
      <c r="G465" s="114">
        <f>ROUND(0.04*366.33,0)*3.53*2</f>
        <v>105.89999999999999</v>
      </c>
      <c r="H465" s="151"/>
      <c r="I465" s="151">
        <v>0</v>
      </c>
      <c r="J465" s="151">
        <v>0</v>
      </c>
      <c r="K465" s="151">
        <v>0</v>
      </c>
      <c r="L465" s="151">
        <v>0</v>
      </c>
      <c r="M465" s="231">
        <v>0</v>
      </c>
      <c r="N465" s="231">
        <v>0</v>
      </c>
      <c r="O465" s="231">
        <v>0</v>
      </c>
      <c r="P465" s="231"/>
      <c r="Q465" s="115">
        <f t="shared" si="35"/>
        <v>367.11999999999995</v>
      </c>
      <c r="R465" s="108" t="s">
        <v>277</v>
      </c>
      <c r="S465" s="274"/>
      <c r="U465" s="253"/>
    </row>
    <row r="466" spans="1:21" ht="12.75">
      <c r="A466" s="116">
        <f t="shared" si="36"/>
        <v>460</v>
      </c>
      <c r="B466" s="111" t="s">
        <v>1139</v>
      </c>
      <c r="C466" s="9">
        <v>21271</v>
      </c>
      <c r="D466" s="122" t="s">
        <v>585</v>
      </c>
      <c r="E466" s="115">
        <v>184.12</v>
      </c>
      <c r="F466" s="115">
        <v>176.29</v>
      </c>
      <c r="G466" s="115">
        <v>192.78</v>
      </c>
      <c r="H466" s="115">
        <v>117.4</v>
      </c>
      <c r="I466" s="115">
        <v>83.94</v>
      </c>
      <c r="J466" s="115">
        <v>44.84</v>
      </c>
      <c r="K466" s="115">
        <v>43.47</v>
      </c>
      <c r="L466" s="115">
        <v>71.3</v>
      </c>
      <c r="M466" s="115">
        <v>81.42</v>
      </c>
      <c r="N466" s="115">
        <v>311.19</v>
      </c>
      <c r="O466" s="115">
        <v>243.34</v>
      </c>
      <c r="P466" s="115">
        <v>363.17</v>
      </c>
      <c r="Q466" s="115">
        <f t="shared" si="35"/>
        <v>1913.26</v>
      </c>
      <c r="R466" s="108"/>
      <c r="S466" s="270"/>
      <c r="U466" s="253"/>
    </row>
    <row r="467" spans="1:21" ht="12.75">
      <c r="A467" s="116">
        <f t="shared" si="36"/>
        <v>461</v>
      </c>
      <c r="B467" s="111" t="s">
        <v>1140</v>
      </c>
      <c r="C467" s="9">
        <v>23722</v>
      </c>
      <c r="D467" s="229" t="s">
        <v>717</v>
      </c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15">
        <f t="shared" si="35"/>
        <v>0</v>
      </c>
      <c r="S467" s="270"/>
      <c r="U467" s="253"/>
    </row>
    <row r="468" spans="1:21" ht="12.75">
      <c r="A468" s="116">
        <f t="shared" si="36"/>
        <v>462</v>
      </c>
      <c r="B468" s="111" t="s">
        <v>692</v>
      </c>
      <c r="C468" s="12">
        <v>23724</v>
      </c>
      <c r="D468" s="122" t="s">
        <v>717</v>
      </c>
      <c r="E468" s="151">
        <v>0</v>
      </c>
      <c r="F468" s="151">
        <v>0</v>
      </c>
      <c r="G468" s="151">
        <v>0</v>
      </c>
      <c r="H468" s="151">
        <v>0</v>
      </c>
      <c r="I468" s="151">
        <v>0</v>
      </c>
      <c r="J468" s="151">
        <v>0</v>
      </c>
      <c r="K468" s="151">
        <v>0</v>
      </c>
      <c r="L468" s="151">
        <v>0</v>
      </c>
      <c r="M468" s="151">
        <v>0</v>
      </c>
      <c r="N468" s="231">
        <v>0</v>
      </c>
      <c r="O468" s="231">
        <v>0</v>
      </c>
      <c r="P468" s="231"/>
      <c r="Q468" s="115">
        <f t="shared" si="35"/>
        <v>0</v>
      </c>
      <c r="R468" s="108" t="s">
        <v>723</v>
      </c>
      <c r="S468" s="270"/>
      <c r="U468" s="253"/>
    </row>
    <row r="469" spans="1:21" ht="12.75">
      <c r="A469" s="116">
        <f t="shared" si="36"/>
        <v>463</v>
      </c>
      <c r="B469" s="111" t="s">
        <v>1141</v>
      </c>
      <c r="C469" s="12">
        <v>23726</v>
      </c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236"/>
      <c r="O469" s="236"/>
      <c r="P469" s="236"/>
      <c r="Q469" s="115">
        <f t="shared" si="35"/>
        <v>0</v>
      </c>
      <c r="R469" s="99" t="s">
        <v>295</v>
      </c>
      <c r="S469" s="270"/>
      <c r="U469" s="253"/>
    </row>
    <row r="470" spans="1:21" ht="12.75">
      <c r="A470" s="116">
        <f t="shared" si="36"/>
        <v>464</v>
      </c>
      <c r="B470" s="111" t="s">
        <v>1142</v>
      </c>
      <c r="C470" s="9">
        <v>21484</v>
      </c>
      <c r="D470" s="12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5">
        <f t="shared" si="35"/>
        <v>0</v>
      </c>
      <c r="R470" s="124" t="s">
        <v>1143</v>
      </c>
      <c r="S470" s="270"/>
      <c r="U470" s="253"/>
    </row>
    <row r="471" spans="1:21" ht="12.75">
      <c r="A471" s="116">
        <f t="shared" si="36"/>
        <v>465</v>
      </c>
      <c r="B471" s="111" t="s">
        <v>1144</v>
      </c>
      <c r="C471" s="9">
        <v>21733</v>
      </c>
      <c r="D471" s="122">
        <v>1</v>
      </c>
      <c r="E471" s="113">
        <f>ROUND(0.04*521.42,0)*3.53</f>
        <v>74.13</v>
      </c>
      <c r="F471" s="114">
        <f>ROUND(0.04*409.08,0)*3.53</f>
        <v>56.48</v>
      </c>
      <c r="G471" s="114">
        <f>ROUND(0.04*366.33,0)*3.53</f>
        <v>52.949999999999996</v>
      </c>
      <c r="H471" s="114">
        <f>ROUND(0.04*254.17,0)*3.53</f>
        <v>35.3</v>
      </c>
      <c r="I471" s="114">
        <f>ROUND(0.04*168.83,0)*3.53</f>
        <v>24.709999999999997</v>
      </c>
      <c r="J471" s="114">
        <f>ROUND(0.04*102.5,0)*3.53</f>
        <v>14.12</v>
      </c>
      <c r="K471" s="114">
        <f>ROUND(0.04*143.25,0)*3.84</f>
        <v>23.04</v>
      </c>
      <c r="L471" s="114">
        <f>(0.04*235.08)*3.84</f>
        <v>36.108288</v>
      </c>
      <c r="M471" s="114">
        <f>(0.04*314.166)*3.84</f>
        <v>48.2558976</v>
      </c>
      <c r="N471" s="261">
        <f>(0.04*430.833)*3.84</f>
        <v>66.17594880000001</v>
      </c>
      <c r="O471" s="261"/>
      <c r="P471" s="261"/>
      <c r="Q471" s="115">
        <f t="shared" si="35"/>
        <v>431.27013439999996</v>
      </c>
      <c r="R471" s="108"/>
      <c r="S471" s="270"/>
      <c r="U471" s="253"/>
    </row>
    <row r="472" spans="1:21" ht="12.75">
      <c r="A472" s="116">
        <f t="shared" si="36"/>
        <v>466</v>
      </c>
      <c r="B472" s="111" t="s">
        <v>693</v>
      </c>
      <c r="C472" s="9">
        <v>21728</v>
      </c>
      <c r="D472" s="230" t="s">
        <v>717</v>
      </c>
      <c r="E472" s="125"/>
      <c r="F472" s="125"/>
      <c r="G472" s="125"/>
      <c r="H472" s="151">
        <v>0</v>
      </c>
      <c r="I472" s="151">
        <v>0</v>
      </c>
      <c r="J472" s="151"/>
      <c r="K472" s="151"/>
      <c r="L472" s="151"/>
      <c r="M472" s="151"/>
      <c r="N472" s="151"/>
      <c r="O472" s="151"/>
      <c r="P472" s="151"/>
      <c r="Q472" s="115">
        <f t="shared" si="35"/>
        <v>0</v>
      </c>
      <c r="S472" s="270"/>
      <c r="U472" s="253"/>
    </row>
    <row r="473" spans="1:21" ht="12.75">
      <c r="A473" s="116">
        <f t="shared" si="36"/>
        <v>467</v>
      </c>
      <c r="B473" s="111" t="s">
        <v>1145</v>
      </c>
      <c r="C473" s="9">
        <v>21729</v>
      </c>
      <c r="D473" s="122">
        <v>2</v>
      </c>
      <c r="E473" s="113">
        <f>ROUND(0.04*521.42,0)*3.53*2</f>
        <v>148.26</v>
      </c>
      <c r="F473" s="114">
        <f>ROUND(0.04*409.08,0)*3.53*2</f>
        <v>112.96</v>
      </c>
      <c r="G473" s="114">
        <f>ROUND(0.04*366.33,0)*3.53*2</f>
        <v>105.89999999999999</v>
      </c>
      <c r="H473" s="114">
        <f>ROUND(0.04*254.17,0)*3.53*2</f>
        <v>70.6</v>
      </c>
      <c r="I473" s="114">
        <f>ROUND(0.04*168.83,0)*3.53*2</f>
        <v>49.419999999999995</v>
      </c>
      <c r="J473" s="114">
        <f>ROUND(0.04*102.5,0)*3.53*2</f>
        <v>28.24</v>
      </c>
      <c r="K473" s="114">
        <f>ROUND(0.04*143.25,0)*3.84*2</f>
        <v>46.08</v>
      </c>
      <c r="L473" s="114">
        <f>(0.04*235.08)*3.84*2</f>
        <v>72.216576</v>
      </c>
      <c r="M473" s="240">
        <f>(0.04*314.166)*3.84*2</f>
        <v>96.5117952</v>
      </c>
      <c r="N473" s="260">
        <f>(0.04*430.833)*3.84*2</f>
        <v>132.35189760000003</v>
      </c>
      <c r="O473" s="260"/>
      <c r="P473" s="260"/>
      <c r="Q473" s="115">
        <f t="shared" si="35"/>
        <v>862.5402687999999</v>
      </c>
      <c r="R473" s="108"/>
      <c r="S473" s="270"/>
      <c r="U473" s="253"/>
    </row>
    <row r="474" spans="1:21" ht="12.75">
      <c r="A474" s="116">
        <f t="shared" si="36"/>
        <v>468</v>
      </c>
      <c r="B474" s="111" t="s">
        <v>694</v>
      </c>
      <c r="C474" s="9">
        <v>21730</v>
      </c>
      <c r="D474" s="230" t="s">
        <v>717</v>
      </c>
      <c r="E474" s="125"/>
      <c r="F474" s="125"/>
      <c r="G474" s="125"/>
      <c r="H474" s="151">
        <v>0</v>
      </c>
      <c r="I474" s="151">
        <v>0</v>
      </c>
      <c r="J474" s="151">
        <v>0</v>
      </c>
      <c r="K474" s="151">
        <v>0</v>
      </c>
      <c r="L474" s="151">
        <v>0</v>
      </c>
      <c r="M474" s="151">
        <v>0</v>
      </c>
      <c r="N474" s="151">
        <v>0</v>
      </c>
      <c r="O474" s="151"/>
      <c r="P474" s="151"/>
      <c r="Q474" s="115">
        <f t="shared" si="35"/>
        <v>0</v>
      </c>
      <c r="S474" s="270"/>
      <c r="U474" s="253"/>
    </row>
    <row r="475" spans="1:21" ht="12.75">
      <c r="A475" s="116">
        <f t="shared" si="36"/>
        <v>469</v>
      </c>
      <c r="B475" s="111" t="s">
        <v>1146</v>
      </c>
      <c r="C475" s="9">
        <v>21487</v>
      </c>
      <c r="D475" s="122">
        <v>0</v>
      </c>
      <c r="E475" s="114"/>
      <c r="F475" s="114"/>
      <c r="G475" s="114"/>
      <c r="H475" s="114"/>
      <c r="I475" s="114"/>
      <c r="J475" s="114"/>
      <c r="K475" s="114"/>
      <c r="L475" s="114">
        <v>72.22</v>
      </c>
      <c r="M475" s="114"/>
      <c r="N475" s="260">
        <f>(0.04*430.833)*3.84*2</f>
        <v>132.35189760000003</v>
      </c>
      <c r="O475" s="260"/>
      <c r="P475" s="260"/>
      <c r="Q475" s="115">
        <f t="shared" si="35"/>
        <v>204.57189760000003</v>
      </c>
      <c r="R475" s="108"/>
      <c r="S475" s="275"/>
      <c r="U475" s="253"/>
    </row>
    <row r="476" spans="1:21" ht="12.75">
      <c r="A476" s="116">
        <f t="shared" si="36"/>
        <v>470</v>
      </c>
      <c r="B476" s="111" t="s">
        <v>1147</v>
      </c>
      <c r="C476" s="9">
        <v>12327</v>
      </c>
      <c r="D476" s="122" t="s">
        <v>585</v>
      </c>
      <c r="E476" s="115">
        <v>2704.86</v>
      </c>
      <c r="F476" s="115">
        <v>1938.21</v>
      </c>
      <c r="G476" s="114">
        <v>2686.62</v>
      </c>
      <c r="H476" s="114">
        <v>2996.7</v>
      </c>
      <c r="I476" s="114">
        <v>3807.18</v>
      </c>
      <c r="J476" s="114">
        <v>3163.17</v>
      </c>
      <c r="K476" s="114">
        <v>5054.32</v>
      </c>
      <c r="L476" s="114">
        <v>2760.18</v>
      </c>
      <c r="M476" s="114">
        <v>2110.02</v>
      </c>
      <c r="N476" s="114">
        <v>2846.84</v>
      </c>
      <c r="O476" s="114">
        <v>3289.92</v>
      </c>
      <c r="P476" s="114">
        <v>2850.03</v>
      </c>
      <c r="Q476" s="115">
        <f t="shared" si="35"/>
        <v>36208.049999999996</v>
      </c>
      <c r="R476" s="108"/>
      <c r="S476" s="270"/>
      <c r="U476" s="253"/>
    </row>
    <row r="477" spans="1:21" ht="12.75">
      <c r="A477" s="116">
        <f t="shared" si="36"/>
        <v>471</v>
      </c>
      <c r="B477" s="111" t="s">
        <v>1148</v>
      </c>
      <c r="C477" s="9"/>
      <c r="D477" s="125"/>
      <c r="E477" s="150"/>
      <c r="F477" s="12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>
        <f t="shared" si="35"/>
        <v>0</v>
      </c>
      <c r="R477" s="108"/>
      <c r="S477" s="270"/>
      <c r="U477" s="253"/>
    </row>
    <row r="478" spans="1:21" ht="12.75">
      <c r="A478" s="116">
        <f t="shared" si="36"/>
        <v>472</v>
      </c>
      <c r="B478" s="111" t="s">
        <v>1149</v>
      </c>
      <c r="C478" s="9">
        <v>12308</v>
      </c>
      <c r="D478" s="122">
        <v>3</v>
      </c>
      <c r="E478" s="114">
        <f>ROUND(0.04*521.42,0)*3.53*3</f>
        <v>222.39</v>
      </c>
      <c r="F478" s="114">
        <f>ROUND(0.04*409.08,0)*3.53*3</f>
        <v>169.44</v>
      </c>
      <c r="G478" s="114">
        <f>ROUND(0.04*366.33,0)*3.53*3</f>
        <v>158.85</v>
      </c>
      <c r="H478" s="114">
        <f>ROUND(0.04*254.17,0)*3.53*3</f>
        <v>105.89999999999999</v>
      </c>
      <c r="I478" s="114">
        <f>ROUND(0.04*168.83,0)*3.53*3</f>
        <v>74.13</v>
      </c>
      <c r="J478" s="114">
        <v>0</v>
      </c>
      <c r="K478" s="114">
        <v>0</v>
      </c>
      <c r="L478" s="114">
        <v>0</v>
      </c>
      <c r="M478" s="131">
        <f>45.1*2.83*3.84</f>
        <v>490.11072</v>
      </c>
      <c r="N478" s="131">
        <f>45.1*2.83*3.84</f>
        <v>490.11072</v>
      </c>
      <c r="O478" s="131">
        <f>45.1*2.83*3.84</f>
        <v>490.11072</v>
      </c>
      <c r="P478" s="131">
        <f>45.1*2.83*3.84</f>
        <v>490.11072</v>
      </c>
      <c r="Q478" s="115">
        <f t="shared" si="35"/>
        <v>2691.15288</v>
      </c>
      <c r="R478" s="108"/>
      <c r="S478" s="271"/>
      <c r="U478" s="253"/>
    </row>
    <row r="479" spans="1:21" ht="12.75">
      <c r="A479" s="116">
        <f t="shared" si="36"/>
        <v>473</v>
      </c>
      <c r="B479" s="111" t="s">
        <v>491</v>
      </c>
      <c r="C479" s="9">
        <v>12300</v>
      </c>
      <c r="D479" s="122" t="s">
        <v>584</v>
      </c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15">
        <f t="shared" si="35"/>
        <v>0</v>
      </c>
      <c r="R479" s="108"/>
      <c r="S479" s="279"/>
      <c r="U479" s="253"/>
    </row>
    <row r="480" spans="1:21" ht="14.25" customHeight="1">
      <c r="A480" s="116">
        <f t="shared" si="36"/>
        <v>474</v>
      </c>
      <c r="B480" s="111" t="s">
        <v>1150</v>
      </c>
      <c r="C480" s="9">
        <v>12301</v>
      </c>
      <c r="D480" s="122">
        <v>15</v>
      </c>
      <c r="E480" s="113">
        <f>ROUND(0.04*521.42,0)*3.53*15</f>
        <v>1111.9499999999998</v>
      </c>
      <c r="F480" s="114">
        <f>ROUND(0.04*409.08,0)*3.53*15</f>
        <v>847.1999999999999</v>
      </c>
      <c r="G480" s="114">
        <f>ROUND(0.04*366.33,0)*3.53*15</f>
        <v>794.2499999999999</v>
      </c>
      <c r="H480" s="114">
        <f>ROUND(0.04*254.17,0)*3.53*15</f>
        <v>529.5</v>
      </c>
      <c r="I480" s="114">
        <f>ROUND(0.04*168.83,0)*3.53*15</f>
        <v>370.65</v>
      </c>
      <c r="J480" s="114">
        <f>ROUND(0.04*102.5,0)*3.53*15</f>
        <v>211.79999999999998</v>
      </c>
      <c r="K480" s="114">
        <f>ROUND(0.04*143.25,0)*3.84*15</f>
        <v>345.59999999999997</v>
      </c>
      <c r="L480" s="114">
        <f>(0.04*235.08)*3.84*15</f>
        <v>541.62432</v>
      </c>
      <c r="M480" s="131">
        <f>20.2*2.83*3.84</f>
        <v>219.51744</v>
      </c>
      <c r="N480" s="131">
        <f>20.2*2.83*3.84</f>
        <v>219.51744</v>
      </c>
      <c r="O480" s="131">
        <f>20.2*2.83*3.84</f>
        <v>219.51744</v>
      </c>
      <c r="P480" s="131">
        <f>20.2*2.83*3.84</f>
        <v>219.51744</v>
      </c>
      <c r="Q480" s="115">
        <f t="shared" si="35"/>
        <v>5630.644079999998</v>
      </c>
      <c r="R480" s="108"/>
      <c r="S480" s="271"/>
      <c r="U480" s="253"/>
    </row>
    <row r="481" spans="1:21" ht="12.75">
      <c r="A481" s="116">
        <f t="shared" si="36"/>
        <v>475</v>
      </c>
      <c r="B481" s="111" t="s">
        <v>695</v>
      </c>
      <c r="C481" s="9">
        <v>12298</v>
      </c>
      <c r="D481" s="122" t="s">
        <v>717</v>
      </c>
      <c r="E481" s="160"/>
      <c r="F481" s="115"/>
      <c r="G481" s="115"/>
      <c r="H481" s="115"/>
      <c r="I481" s="115"/>
      <c r="J481" s="115"/>
      <c r="K481" s="115"/>
      <c r="L481" s="115"/>
      <c r="M481" s="115"/>
      <c r="N481" s="119"/>
      <c r="O481" s="119"/>
      <c r="P481" s="119"/>
      <c r="Q481" s="115">
        <f t="shared" si="35"/>
        <v>0</v>
      </c>
      <c r="R481" s="162" t="s">
        <v>716</v>
      </c>
      <c r="S481" s="270"/>
      <c r="U481" s="253"/>
    </row>
    <row r="482" spans="1:21" ht="12.75">
      <c r="A482" s="116">
        <f t="shared" si="36"/>
        <v>476</v>
      </c>
      <c r="B482" s="111" t="s">
        <v>629</v>
      </c>
      <c r="C482" s="12">
        <v>10023</v>
      </c>
      <c r="D482" s="122"/>
      <c r="E482" s="115">
        <v>1825.46</v>
      </c>
      <c r="F482" s="115">
        <v>1591.29</v>
      </c>
      <c r="G482" s="125">
        <v>1154.01</v>
      </c>
      <c r="H482" s="125">
        <v>794.33</v>
      </c>
      <c r="I482" s="125">
        <v>797.93</v>
      </c>
      <c r="J482" s="125">
        <v>1186.44</v>
      </c>
      <c r="K482" s="125">
        <v>453.79</v>
      </c>
      <c r="L482" s="125">
        <v>675.05</v>
      </c>
      <c r="M482" s="125">
        <v>958.87</v>
      </c>
      <c r="N482" s="125">
        <v>1105.61</v>
      </c>
      <c r="O482" s="125">
        <v>1169.78</v>
      </c>
      <c r="P482" s="125">
        <v>1609.08</v>
      </c>
      <c r="Q482" s="115">
        <f t="shared" si="35"/>
        <v>13321.640000000003</v>
      </c>
      <c r="S482" s="270"/>
      <c r="U482" s="253"/>
    </row>
    <row r="483" spans="1:21" ht="12.75">
      <c r="A483" s="116">
        <f t="shared" si="36"/>
        <v>477</v>
      </c>
      <c r="B483" s="111" t="s">
        <v>1151</v>
      </c>
      <c r="C483" s="9">
        <v>21492</v>
      </c>
      <c r="D483" s="122" t="s">
        <v>584</v>
      </c>
      <c r="E483" s="136"/>
      <c r="F483" s="136"/>
      <c r="G483" s="156">
        <f>ROUND(0.04*366.33,0)*3.53*2</f>
        <v>105.89999999999999</v>
      </c>
      <c r="H483" s="156">
        <f>ROUND(0.04*254.17,0)*3.53*2</f>
        <v>70.6</v>
      </c>
      <c r="I483" s="156">
        <f>ROUND(0.04*168.83,0)*3.53*2</f>
        <v>49.419999999999995</v>
      </c>
      <c r="J483" s="156">
        <v>0</v>
      </c>
      <c r="K483" s="156">
        <v>0</v>
      </c>
      <c r="L483" s="156">
        <v>0</v>
      </c>
      <c r="M483" s="156">
        <v>0</v>
      </c>
      <c r="N483" s="156">
        <v>0</v>
      </c>
      <c r="O483" s="156">
        <v>0</v>
      </c>
      <c r="P483" s="156"/>
      <c r="Q483" s="115">
        <f t="shared" si="35"/>
        <v>225.92</v>
      </c>
      <c r="R483" s="108"/>
      <c r="S483" s="277"/>
      <c r="U483" s="253"/>
    </row>
    <row r="484" spans="1:21" ht="12.75">
      <c r="A484" s="116">
        <f t="shared" si="36"/>
        <v>478</v>
      </c>
      <c r="B484" s="111" t="s">
        <v>1152</v>
      </c>
      <c r="C484" s="9">
        <v>21489</v>
      </c>
      <c r="D484" s="128">
        <v>0</v>
      </c>
      <c r="E484" s="113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5">
        <f t="shared" si="35"/>
        <v>0</v>
      </c>
      <c r="R484" s="99" t="s">
        <v>280</v>
      </c>
      <c r="S484" s="270"/>
      <c r="U484" s="253"/>
    </row>
    <row r="485" spans="1:21" ht="12.75">
      <c r="A485" s="116">
        <f t="shared" si="36"/>
        <v>479</v>
      </c>
      <c r="B485" s="111" t="s">
        <v>696</v>
      </c>
      <c r="C485" s="9">
        <v>21743</v>
      </c>
      <c r="D485" s="230" t="s">
        <v>717</v>
      </c>
      <c r="E485" s="230"/>
      <c r="F485" s="125"/>
      <c r="G485" s="125"/>
      <c r="H485" s="151">
        <v>0</v>
      </c>
      <c r="I485" s="151">
        <v>0</v>
      </c>
      <c r="J485" s="151"/>
      <c r="K485" s="151"/>
      <c r="L485" s="151"/>
      <c r="M485" s="151"/>
      <c r="N485" s="151"/>
      <c r="O485" s="151"/>
      <c r="P485" s="151"/>
      <c r="Q485" s="115">
        <f t="shared" si="35"/>
        <v>0</v>
      </c>
      <c r="S485" s="270"/>
      <c r="U485" s="253"/>
    </row>
    <row r="486" spans="1:21" ht="12.75">
      <c r="A486" s="116">
        <f t="shared" si="36"/>
        <v>480</v>
      </c>
      <c r="B486" s="111" t="s">
        <v>1153</v>
      </c>
      <c r="C486" s="9">
        <v>21749</v>
      </c>
      <c r="D486" s="122">
        <v>1</v>
      </c>
      <c r="E486" s="113">
        <f>ROUND(0.04*521.42,0)*3.53</f>
        <v>74.13</v>
      </c>
      <c r="F486" s="114">
        <f>ROUND(0.04*409.08,0)*3.53</f>
        <v>56.48</v>
      </c>
      <c r="G486" s="114">
        <f>ROUND(0.04*366.33,0)*3.53</f>
        <v>52.949999999999996</v>
      </c>
      <c r="H486" s="114">
        <f>ROUND(0.04*254.17,0)*3.53</f>
        <v>35.3</v>
      </c>
      <c r="I486" s="114">
        <f>ROUND(0.04*168.83,0)*3.53</f>
        <v>24.709999999999997</v>
      </c>
      <c r="J486" s="114">
        <f>ROUND(0.04*102.5,0)*3.53</f>
        <v>14.12</v>
      </c>
      <c r="K486" s="114">
        <f>ROUND(0.04*143.25,0)*3.84</f>
        <v>23.04</v>
      </c>
      <c r="L486" s="114">
        <f>(0.04*235.08)*3.84</f>
        <v>36.108288</v>
      </c>
      <c r="M486" s="114">
        <f>(0.04*314.166)*3.84</f>
        <v>48.2558976</v>
      </c>
      <c r="N486" s="261">
        <f>(0.04*430.833)*3.84</f>
        <v>66.17594880000001</v>
      </c>
      <c r="O486" s="261"/>
      <c r="P486" s="261"/>
      <c r="Q486" s="115">
        <f t="shared" si="35"/>
        <v>431.27013439999996</v>
      </c>
      <c r="R486" s="108"/>
      <c r="S486" s="270"/>
      <c r="U486" s="253"/>
    </row>
    <row r="487" spans="1:21" ht="12.75">
      <c r="A487" s="116">
        <f t="shared" si="36"/>
        <v>481</v>
      </c>
      <c r="B487" s="111" t="s">
        <v>1154</v>
      </c>
      <c r="C487" s="9">
        <v>12309</v>
      </c>
      <c r="D487" s="122" t="s">
        <v>584</v>
      </c>
      <c r="E487" s="136"/>
      <c r="F487" s="136"/>
      <c r="G487" s="136">
        <f>ROUND(0.04*366.33,0)*3.53*3</f>
        <v>158.85</v>
      </c>
      <c r="H487" s="136">
        <f>ROUND(0.04*254.17,0)*3.53*3</f>
        <v>105.89999999999999</v>
      </c>
      <c r="I487" s="136">
        <f>ROUND(0.04*168.83,0)*3.53*3</f>
        <v>74.13</v>
      </c>
      <c r="J487" s="136">
        <v>0</v>
      </c>
      <c r="K487" s="136">
        <v>0</v>
      </c>
      <c r="L487" s="136">
        <v>0</v>
      </c>
      <c r="M487" s="255">
        <f>36*2.83*3.84</f>
        <v>391.21919999999994</v>
      </c>
      <c r="N487" s="255">
        <f>36*2.83*3.84</f>
        <v>391.21919999999994</v>
      </c>
      <c r="O487" s="255">
        <f>36*2.83*3.84</f>
        <v>391.21919999999994</v>
      </c>
      <c r="P487" s="255">
        <f>36*2.83*3.84</f>
        <v>391.21919999999994</v>
      </c>
      <c r="Q487" s="115">
        <f t="shared" si="35"/>
        <v>1903.7567999999999</v>
      </c>
      <c r="R487" s="108"/>
      <c r="S487" s="279"/>
      <c r="U487" s="253"/>
    </row>
    <row r="488" spans="1:21" ht="12.75">
      <c r="A488" s="116">
        <f t="shared" si="36"/>
        <v>482</v>
      </c>
      <c r="B488" s="111" t="s">
        <v>1155</v>
      </c>
      <c r="C488" s="9">
        <v>12310</v>
      </c>
      <c r="D488" s="122">
        <v>10</v>
      </c>
      <c r="E488" s="113">
        <f>ROUND(0.04*521.42,0)*3.53*10</f>
        <v>741.3</v>
      </c>
      <c r="F488" s="114">
        <f>ROUND(0.04*409.08,0)*3.53*10</f>
        <v>564.8</v>
      </c>
      <c r="G488" s="114">
        <f>ROUND(0.04*366.33,0)*3.53*10</f>
        <v>529.5</v>
      </c>
      <c r="H488" s="114">
        <f>ROUND(0.04*254.17,0)*3.53*10</f>
        <v>353</v>
      </c>
      <c r="I488" s="114">
        <f>ROUND(0.04*168.83,0)*3.53*10</f>
        <v>247.09999999999997</v>
      </c>
      <c r="J488" s="114">
        <f>ROUND(0.04*102.5,0)*3.53*10</f>
        <v>141.2</v>
      </c>
      <c r="K488" s="114">
        <f>ROUND(0.04*143.25,0)*3.84*10</f>
        <v>230.39999999999998</v>
      </c>
      <c r="L488" s="114">
        <f>(0.04*235.08)*3.84*10</f>
        <v>361.08288000000005</v>
      </c>
      <c r="M488" s="114">
        <f>(0.04*314.166)*3.84*10</f>
        <v>482.558976</v>
      </c>
      <c r="N488" s="261">
        <f>(0.04*430.833)*3.84*10</f>
        <v>661.7594880000001</v>
      </c>
      <c r="O488" s="261"/>
      <c r="P488" s="261"/>
      <c r="Q488" s="115">
        <f t="shared" si="35"/>
        <v>4312.701343999999</v>
      </c>
      <c r="R488" s="108" t="s">
        <v>866</v>
      </c>
      <c r="S488" s="270"/>
      <c r="U488" s="253"/>
    </row>
    <row r="489" spans="1:21" ht="12.75">
      <c r="A489" s="116">
        <f t="shared" si="36"/>
        <v>483</v>
      </c>
      <c r="B489" s="111" t="s">
        <v>697</v>
      </c>
      <c r="C489" s="9">
        <v>10013</v>
      </c>
      <c r="D489" s="230" t="s">
        <v>717</v>
      </c>
      <c r="E489" s="125"/>
      <c r="F489" s="125"/>
      <c r="G489" s="125"/>
      <c r="H489" s="151">
        <v>0</v>
      </c>
      <c r="I489" s="151">
        <v>0</v>
      </c>
      <c r="J489" s="151"/>
      <c r="K489" s="151"/>
      <c r="L489" s="151"/>
      <c r="M489" s="151"/>
      <c r="N489" s="151"/>
      <c r="O489" s="151"/>
      <c r="P489" s="151"/>
      <c r="Q489" s="115">
        <f t="shared" si="35"/>
        <v>0</v>
      </c>
      <c r="S489" s="270"/>
      <c r="U489" s="253"/>
    </row>
    <row r="490" spans="1:21" ht="12.75">
      <c r="A490" s="116">
        <f t="shared" si="36"/>
        <v>484</v>
      </c>
      <c r="B490" s="111" t="s">
        <v>1156</v>
      </c>
      <c r="C490" s="9">
        <v>12311</v>
      </c>
      <c r="D490" s="122">
        <v>4</v>
      </c>
      <c r="E490" s="113">
        <f>ROUND(0.04*521.42,0)*3.53*4</f>
        <v>296.52</v>
      </c>
      <c r="F490" s="114">
        <f>ROUND(0.04*409.08,0)*3.53*4</f>
        <v>225.92</v>
      </c>
      <c r="G490" s="114">
        <f>ROUND(0.04*366.33,0)*3.53*4</f>
        <v>211.79999999999998</v>
      </c>
      <c r="H490" s="114">
        <f>ROUND(0.04*254.17,0)*3.53*4</f>
        <v>141.2</v>
      </c>
      <c r="I490" s="114">
        <f>ROUND(0.04*168.83,0)*3.53*4</f>
        <v>98.83999999999999</v>
      </c>
      <c r="J490" s="114">
        <f>ROUND(0.04*102.5,0)*3.53*4</f>
        <v>56.48</v>
      </c>
      <c r="K490" s="114">
        <f>ROUND(0.04*143.25,0)*3.84*4</f>
        <v>92.16</v>
      </c>
      <c r="L490" s="114">
        <f>(0.04*235.08)*3.84*4</f>
        <v>144.433152</v>
      </c>
      <c r="M490" s="114">
        <f>(0.04*314.166)*3.84*4</f>
        <v>193.0235904</v>
      </c>
      <c r="N490" s="119"/>
      <c r="O490" s="119"/>
      <c r="P490" s="119"/>
      <c r="Q490" s="115">
        <f t="shared" si="35"/>
        <v>1460.3767423999998</v>
      </c>
      <c r="R490" s="108" t="s">
        <v>1397</v>
      </c>
      <c r="S490" s="270"/>
      <c r="U490" s="253"/>
    </row>
    <row r="491" spans="1:21" ht="12.75">
      <c r="A491" s="116">
        <f t="shared" si="36"/>
        <v>485</v>
      </c>
      <c r="B491" s="111" t="s">
        <v>1157</v>
      </c>
      <c r="C491" s="9">
        <v>12655</v>
      </c>
      <c r="D491" s="122">
        <v>3</v>
      </c>
      <c r="E491" s="113">
        <f>ROUND(0.04*521.42,0)*3.53*3</f>
        <v>222.39</v>
      </c>
      <c r="F491" s="114">
        <f>ROUND(0.04*409.08,0)*3.53*3</f>
        <v>169.44</v>
      </c>
      <c r="G491" s="114">
        <f>ROUND(0.04*366.33,0)*3.53*3</f>
        <v>158.85</v>
      </c>
      <c r="H491" s="114">
        <f>ROUND(0.04*254.17,0)*3.53*3</f>
        <v>105.89999999999999</v>
      </c>
      <c r="I491" s="114">
        <f>ROUND(0.04*168.83,0)*3.53*3</f>
        <v>74.13</v>
      </c>
      <c r="J491" s="114">
        <f>ROUND(0.04*102.5,0)*3.53*3</f>
        <v>42.36</v>
      </c>
      <c r="K491" s="114">
        <f>ROUND(0.04*143.25,0)*3.84*3</f>
        <v>69.12</v>
      </c>
      <c r="L491" s="114">
        <f>(0.04*235.08)*3.84*3</f>
        <v>108.324864</v>
      </c>
      <c r="M491" s="114">
        <f>(0.04*314.166)*3.84*3</f>
        <v>144.7676928</v>
      </c>
      <c r="N491" s="261">
        <f>(0.04*430.833)*3.84*3</f>
        <v>198.52784640000004</v>
      </c>
      <c r="O491" s="261"/>
      <c r="P491" s="261"/>
      <c r="Q491" s="115">
        <f t="shared" si="35"/>
        <v>1293.8104032</v>
      </c>
      <c r="R491" s="108"/>
      <c r="S491" s="270"/>
      <c r="U491" s="253"/>
    </row>
    <row r="492" spans="1:21" ht="12.75">
      <c r="A492" s="116">
        <f t="shared" si="36"/>
        <v>486</v>
      </c>
      <c r="B492" s="111" t="s">
        <v>1158</v>
      </c>
      <c r="C492" s="9">
        <v>12667</v>
      </c>
      <c r="D492" s="128">
        <v>0</v>
      </c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5">
        <f t="shared" si="35"/>
        <v>0</v>
      </c>
      <c r="R492" s="124" t="s">
        <v>1159</v>
      </c>
      <c r="S492" s="270"/>
      <c r="U492" s="253"/>
    </row>
    <row r="493" spans="1:21" ht="12.75">
      <c r="A493" s="116">
        <f t="shared" si="36"/>
        <v>487</v>
      </c>
      <c r="B493" s="111" t="s">
        <v>699</v>
      </c>
      <c r="C493" s="245">
        <v>21761</v>
      </c>
      <c r="D493" s="230" t="s">
        <v>717</v>
      </c>
      <c r="E493" s="119"/>
      <c r="F493" s="119"/>
      <c r="G493" s="119"/>
      <c r="H493" s="151">
        <v>0</v>
      </c>
      <c r="I493" s="151">
        <v>0</v>
      </c>
      <c r="J493" s="151">
        <v>0</v>
      </c>
      <c r="K493" s="151">
        <v>0</v>
      </c>
      <c r="L493" s="151">
        <v>0</v>
      </c>
      <c r="M493" s="151">
        <v>0</v>
      </c>
      <c r="N493" s="151">
        <v>0</v>
      </c>
      <c r="O493" s="151">
        <v>0</v>
      </c>
      <c r="P493" s="151">
        <v>0</v>
      </c>
      <c r="Q493" s="115">
        <f t="shared" si="35"/>
        <v>0</v>
      </c>
      <c r="R493" s="108"/>
      <c r="S493" s="270"/>
      <c r="U493" s="253"/>
    </row>
    <row r="494" spans="1:21" ht="12.75">
      <c r="A494" s="116">
        <f t="shared" si="36"/>
        <v>488</v>
      </c>
      <c r="B494" s="111" t="s">
        <v>1160</v>
      </c>
      <c r="C494" s="9">
        <v>21836</v>
      </c>
      <c r="D494" s="122">
        <v>0</v>
      </c>
      <c r="E494" s="113"/>
      <c r="F494" s="115"/>
      <c r="G494" s="115"/>
      <c r="H494" s="115"/>
      <c r="I494" s="115"/>
      <c r="J494" s="115"/>
      <c r="K494" s="115"/>
      <c r="L494" s="115"/>
      <c r="M494" s="115"/>
      <c r="N494" s="255">
        <f>45.6*2.83*3.84</f>
        <v>495.54431999999997</v>
      </c>
      <c r="O494" s="255">
        <f>45.6*2.83*3.84</f>
        <v>495.54431999999997</v>
      </c>
      <c r="P494" s="255">
        <f>45.6*2.83*3.84</f>
        <v>495.54431999999997</v>
      </c>
      <c r="Q494" s="115">
        <f t="shared" si="35"/>
        <v>1486.63296</v>
      </c>
      <c r="R494" s="99" t="s">
        <v>296</v>
      </c>
      <c r="S494" s="270"/>
      <c r="U494" s="253"/>
    </row>
    <row r="495" spans="1:21" ht="12.75">
      <c r="A495" s="116">
        <f t="shared" si="36"/>
        <v>489</v>
      </c>
      <c r="B495" s="111" t="s">
        <v>1161</v>
      </c>
      <c r="C495" s="9">
        <v>19757</v>
      </c>
      <c r="D495" s="129" t="s">
        <v>588</v>
      </c>
      <c r="E495" s="115">
        <v>2373.12</v>
      </c>
      <c r="F495" s="115">
        <v>2599.84</v>
      </c>
      <c r="G495" s="115">
        <v>1980.28</v>
      </c>
      <c r="H495" s="115">
        <v>2119.03</v>
      </c>
      <c r="I495" s="115">
        <v>1768.54</v>
      </c>
      <c r="J495" s="115">
        <v>1857.49</v>
      </c>
      <c r="K495" s="115">
        <v>1454.06</v>
      </c>
      <c r="L495" s="115">
        <v>1829.65</v>
      </c>
      <c r="M495" s="115">
        <v>2149.12</v>
      </c>
      <c r="N495" s="115">
        <v>2002.84</v>
      </c>
      <c r="O495" s="115">
        <v>2687.55</v>
      </c>
      <c r="P495" s="115">
        <v>2621.77</v>
      </c>
      <c r="Q495" s="115">
        <f t="shared" si="35"/>
        <v>25443.29</v>
      </c>
      <c r="R495" s="108"/>
      <c r="S495" s="270"/>
      <c r="U495" s="253"/>
    </row>
    <row r="496" spans="1:21" ht="12.75">
      <c r="A496" s="116">
        <f t="shared" si="36"/>
        <v>490</v>
      </c>
      <c r="B496" s="111" t="s">
        <v>1162</v>
      </c>
      <c r="C496" s="9">
        <v>19759</v>
      </c>
      <c r="D496" s="129" t="s">
        <v>588</v>
      </c>
      <c r="E496" s="115">
        <v>4397.56</v>
      </c>
      <c r="F496" s="114">
        <v>4322.28</v>
      </c>
      <c r="G496" s="114">
        <v>3896.91</v>
      </c>
      <c r="H496" s="114">
        <v>4004.85</v>
      </c>
      <c r="I496" s="114">
        <v>3856.73</v>
      </c>
      <c r="J496" s="114">
        <v>2042.1</v>
      </c>
      <c r="K496" s="114">
        <v>6269.11</v>
      </c>
      <c r="L496" s="114">
        <v>3194.01</v>
      </c>
      <c r="M496" s="114">
        <v>4496.27</v>
      </c>
      <c r="N496" s="114">
        <v>4174.04</v>
      </c>
      <c r="O496" s="114">
        <v>5082.08</v>
      </c>
      <c r="P496" s="114">
        <v>4879.45</v>
      </c>
      <c r="Q496" s="115">
        <f t="shared" si="35"/>
        <v>50615.38999999999</v>
      </c>
      <c r="R496" s="108"/>
      <c r="S496" s="270"/>
      <c r="U496" s="253"/>
    </row>
    <row r="497" spans="1:21" ht="12.75">
      <c r="A497" s="116">
        <f t="shared" si="36"/>
        <v>491</v>
      </c>
      <c r="B497" s="111" t="s">
        <v>1163</v>
      </c>
      <c r="C497" s="9">
        <v>12760</v>
      </c>
      <c r="D497" s="122" t="s">
        <v>585</v>
      </c>
      <c r="E497" s="115">
        <v>7148.21</v>
      </c>
      <c r="F497" s="115">
        <v>6982.85</v>
      </c>
      <c r="G497" s="115">
        <v>6169.9</v>
      </c>
      <c r="H497" s="115">
        <v>5475.77</v>
      </c>
      <c r="I497" s="115">
        <v>5159.47</v>
      </c>
      <c r="J497" s="115">
        <v>4189.27</v>
      </c>
      <c r="K497" s="115">
        <v>4416.23</v>
      </c>
      <c r="L497" s="115">
        <v>5663.29</v>
      </c>
      <c r="M497" s="115">
        <v>6310.97</v>
      </c>
      <c r="N497" s="115">
        <v>7135.75</v>
      </c>
      <c r="O497" s="115">
        <v>7620.59</v>
      </c>
      <c r="P497" s="115">
        <v>6803.4</v>
      </c>
      <c r="Q497" s="115">
        <f aca="true" t="shared" si="37" ref="Q497:Q560">E497+F497+G497+H497+I497+J497+K497+L497+M497+N497+O497+P497</f>
        <v>73075.7</v>
      </c>
      <c r="R497" s="108"/>
      <c r="S497" s="270"/>
      <c r="U497" s="253"/>
    </row>
    <row r="498" spans="1:21" ht="12.75">
      <c r="A498" s="116">
        <f t="shared" si="36"/>
        <v>492</v>
      </c>
      <c r="B498" s="111" t="s">
        <v>1164</v>
      </c>
      <c r="C498" s="9">
        <v>12761</v>
      </c>
      <c r="D498" s="129" t="s">
        <v>588</v>
      </c>
      <c r="E498" s="115">
        <v>850.08</v>
      </c>
      <c r="F498" s="115">
        <v>834.25</v>
      </c>
      <c r="G498" s="115">
        <v>805.8499999999999</v>
      </c>
      <c r="H498" s="115">
        <v>735.65</v>
      </c>
      <c r="I498" s="115">
        <v>744.89</v>
      </c>
      <c r="J498" s="115">
        <v>44423.96</v>
      </c>
      <c r="K498" s="115">
        <v>8454.11</v>
      </c>
      <c r="L498" s="115">
        <v>8075.76</v>
      </c>
      <c r="M498" s="115">
        <v>9516.71</v>
      </c>
      <c r="N498" s="115">
        <v>11213.88</v>
      </c>
      <c r="O498" s="115">
        <v>11327.27</v>
      </c>
      <c r="P498" s="115">
        <v>8989.09</v>
      </c>
      <c r="Q498" s="115">
        <f t="shared" si="37"/>
        <v>105971.50000000001</v>
      </c>
      <c r="R498" s="108"/>
      <c r="S498" s="270"/>
      <c r="U498" s="253"/>
    </row>
    <row r="499" spans="1:21" ht="12.75">
      <c r="A499" s="116">
        <f t="shared" si="36"/>
        <v>493</v>
      </c>
      <c r="B499" s="111" t="s">
        <v>1165</v>
      </c>
      <c r="C499" s="9">
        <v>12762</v>
      </c>
      <c r="D499" s="122" t="s">
        <v>585</v>
      </c>
      <c r="E499" s="115">
        <v>5512.73</v>
      </c>
      <c r="F499" s="115">
        <v>4703.75</v>
      </c>
      <c r="G499" s="115">
        <v>4806.7</v>
      </c>
      <c r="H499" s="115">
        <v>4050.67</v>
      </c>
      <c r="I499" s="115">
        <v>4216.99</v>
      </c>
      <c r="J499" s="115">
        <v>5091.24</v>
      </c>
      <c r="K499" s="115">
        <v>5569.91</v>
      </c>
      <c r="L499" s="115">
        <v>4813.21</v>
      </c>
      <c r="M499" s="115">
        <v>5185.35</v>
      </c>
      <c r="N499" s="115">
        <v>6017.49</v>
      </c>
      <c r="O499" s="115">
        <v>6205.17</v>
      </c>
      <c r="P499" s="115">
        <v>5794.62</v>
      </c>
      <c r="Q499" s="115">
        <f t="shared" si="37"/>
        <v>61967.82999999999</v>
      </c>
      <c r="R499" s="108"/>
      <c r="S499" s="270"/>
      <c r="U499" s="253"/>
    </row>
    <row r="500" spans="1:21" ht="12.75">
      <c r="A500" s="116">
        <f t="shared" si="36"/>
        <v>494</v>
      </c>
      <c r="B500" s="111" t="s">
        <v>1166</v>
      </c>
      <c r="C500" s="10">
        <v>12363</v>
      </c>
      <c r="D500" s="129" t="s">
        <v>588</v>
      </c>
      <c r="E500" s="115">
        <f>26562.77+92035.8</f>
        <v>118598.57</v>
      </c>
      <c r="F500" s="115">
        <f>21929.31+79864.2</f>
        <v>101793.51</v>
      </c>
      <c r="G500" s="115">
        <v>17004.03</v>
      </c>
      <c r="H500" s="115">
        <f>93230.38+13542.75</f>
        <v>106773.13</v>
      </c>
      <c r="I500" s="115">
        <f>88511.47+9072.91</f>
        <v>97584.38</v>
      </c>
      <c r="J500" s="115">
        <f>57153.46+10162.54</f>
        <v>67316</v>
      </c>
      <c r="K500" s="115">
        <f>73918.19+9450.93</f>
        <v>83369.12</v>
      </c>
      <c r="L500" s="115">
        <f>73496.19+9520.39</f>
        <v>83016.58</v>
      </c>
      <c r="M500" s="115">
        <f>85503.71+12435.41</f>
        <v>97939.12000000001</v>
      </c>
      <c r="N500" s="115">
        <f>104831.04+16154.05</f>
        <v>120985.09</v>
      </c>
      <c r="O500" s="115">
        <f>95487.6+16857.39</f>
        <v>112344.99</v>
      </c>
      <c r="P500" s="115">
        <f>88257.67+16297.34</f>
        <v>104555.01</v>
      </c>
      <c r="Q500" s="115">
        <f t="shared" si="37"/>
        <v>1111279.5299999998</v>
      </c>
      <c r="R500" s="108"/>
      <c r="S500" s="270"/>
      <c r="U500" s="253"/>
    </row>
    <row r="501" spans="1:21" ht="12.75">
      <c r="A501" s="116">
        <f t="shared" si="36"/>
        <v>495</v>
      </c>
      <c r="B501" s="111" t="s">
        <v>1167</v>
      </c>
      <c r="C501" s="9">
        <v>12364</v>
      </c>
      <c r="D501" s="129" t="s">
        <v>588</v>
      </c>
      <c r="E501" s="115">
        <v>7807.8</v>
      </c>
      <c r="F501" s="115">
        <v>7469.2</v>
      </c>
      <c r="G501" s="115">
        <v>7036.099999999999</v>
      </c>
      <c r="H501" s="115">
        <v>7035.19</v>
      </c>
      <c r="I501" s="115">
        <v>7040.88</v>
      </c>
      <c r="J501" s="115">
        <v>21769.97</v>
      </c>
      <c r="K501" s="115">
        <v>10302.16</v>
      </c>
      <c r="L501" s="115">
        <v>9381.24</v>
      </c>
      <c r="M501" s="115">
        <v>10198.66</v>
      </c>
      <c r="N501" s="115">
        <v>12242.21</v>
      </c>
      <c r="O501" s="115">
        <v>11597.06</v>
      </c>
      <c r="P501" s="115">
        <v>9767.18</v>
      </c>
      <c r="Q501" s="115">
        <f t="shared" si="37"/>
        <v>121647.65</v>
      </c>
      <c r="R501" s="108"/>
      <c r="S501" s="270"/>
      <c r="U501" s="253"/>
    </row>
    <row r="502" spans="1:21" ht="12.75">
      <c r="A502" s="116">
        <f t="shared" si="36"/>
        <v>496</v>
      </c>
      <c r="B502" s="111" t="s">
        <v>1168</v>
      </c>
      <c r="C502" s="242">
        <v>33018</v>
      </c>
      <c r="D502" s="122" t="s">
        <v>591</v>
      </c>
      <c r="E502" s="119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>
        <f t="shared" si="37"/>
        <v>0</v>
      </c>
      <c r="R502" s="108"/>
      <c r="S502" s="270"/>
      <c r="U502" s="253"/>
    </row>
    <row r="503" spans="1:21" ht="12.75">
      <c r="A503" s="116">
        <f t="shared" si="36"/>
        <v>497</v>
      </c>
      <c r="B503" s="111" t="s">
        <v>1169</v>
      </c>
      <c r="C503" s="9">
        <v>12673</v>
      </c>
      <c r="D503" s="129" t="s">
        <v>588</v>
      </c>
      <c r="E503" s="115">
        <v>4949.09</v>
      </c>
      <c r="F503" s="115">
        <v>7053.85</v>
      </c>
      <c r="G503" s="115">
        <v>5577.049999999999</v>
      </c>
      <c r="H503" s="115">
        <v>4832.52</v>
      </c>
      <c r="I503" s="115">
        <v>4869.48</v>
      </c>
      <c r="J503" s="115">
        <v>5544</v>
      </c>
      <c r="K503" s="115">
        <v>4617.02</v>
      </c>
      <c r="L503" s="115">
        <v>4732.25</v>
      </c>
      <c r="M503" s="115">
        <v>5594.06</v>
      </c>
      <c r="N503" s="115">
        <v>5626.49</v>
      </c>
      <c r="O503" s="115">
        <v>6936.34</v>
      </c>
      <c r="P503" s="115">
        <v>6451.5</v>
      </c>
      <c r="Q503" s="115">
        <f t="shared" si="37"/>
        <v>66783.65</v>
      </c>
      <c r="R503" s="108"/>
      <c r="S503" s="270"/>
      <c r="U503" s="253"/>
    </row>
    <row r="504" spans="1:21" ht="12.75">
      <c r="A504" s="116">
        <f t="shared" si="36"/>
        <v>498</v>
      </c>
      <c r="B504" s="111" t="s">
        <v>1170</v>
      </c>
      <c r="C504" s="9">
        <v>12752</v>
      </c>
      <c r="D504" s="129" t="s">
        <v>588</v>
      </c>
      <c r="E504" s="115">
        <v>7911.58</v>
      </c>
      <c r="F504" s="115">
        <v>8825.3</v>
      </c>
      <c r="G504" s="115">
        <v>6808.9</v>
      </c>
      <c r="H504" s="115">
        <v>6837.6</v>
      </c>
      <c r="I504" s="115">
        <v>5809.82</v>
      </c>
      <c r="J504" s="115">
        <v>27271.95</v>
      </c>
      <c r="K504" s="115">
        <v>9093.97</v>
      </c>
      <c r="L504" s="115">
        <v>10366.79</v>
      </c>
      <c r="M504" s="115">
        <v>10427.51</v>
      </c>
      <c r="N504" s="115">
        <v>12402.52</v>
      </c>
      <c r="O504" s="115">
        <v>13540.33</v>
      </c>
      <c r="P504" s="115">
        <v>14838.45</v>
      </c>
      <c r="Q504" s="115">
        <f t="shared" si="37"/>
        <v>134134.72</v>
      </c>
      <c r="R504" s="108"/>
      <c r="S504" s="270"/>
      <c r="U504" s="253"/>
    </row>
    <row r="505" spans="1:21" ht="12.75">
      <c r="A505" s="116">
        <f t="shared" si="36"/>
        <v>499</v>
      </c>
      <c r="B505" s="111" t="s">
        <v>1171</v>
      </c>
      <c r="C505" s="9">
        <v>12755</v>
      </c>
      <c r="D505" s="129" t="s">
        <v>588</v>
      </c>
      <c r="E505" s="115">
        <v>4017.26</v>
      </c>
      <c r="F505" s="115">
        <v>4512.05</v>
      </c>
      <c r="G505" s="115">
        <v>3890.7999999999997</v>
      </c>
      <c r="H505" s="115">
        <v>2784.79</v>
      </c>
      <c r="I505" s="115">
        <v>2769.86</v>
      </c>
      <c r="J505" s="115">
        <v>3008.69</v>
      </c>
      <c r="K505" s="115">
        <v>2813.36</v>
      </c>
      <c r="L505" s="115">
        <v>2756.55</v>
      </c>
      <c r="M505" s="115">
        <v>3940.59</v>
      </c>
      <c r="N505" s="115">
        <v>4152.42</v>
      </c>
      <c r="O505" s="115">
        <v>5161.2</v>
      </c>
      <c r="P505" s="115">
        <v>5008.71</v>
      </c>
      <c r="Q505" s="115">
        <f t="shared" si="37"/>
        <v>44816.28</v>
      </c>
      <c r="R505" s="108"/>
      <c r="S505" s="270"/>
      <c r="U505" s="253"/>
    </row>
    <row r="506" spans="1:21" ht="12.75">
      <c r="A506" s="116">
        <f t="shared" si="36"/>
        <v>500</v>
      </c>
      <c r="B506" s="111" t="s">
        <v>1172</v>
      </c>
      <c r="C506" s="9">
        <v>19760</v>
      </c>
      <c r="D506" s="129" t="s">
        <v>588</v>
      </c>
      <c r="E506" s="115">
        <v>14060.73</v>
      </c>
      <c r="F506" s="115">
        <v>13871.45</v>
      </c>
      <c r="G506" s="115">
        <v>10131.259999999998</v>
      </c>
      <c r="H506" s="115">
        <v>10054.02</v>
      </c>
      <c r="I506" s="115">
        <v>10295.49</v>
      </c>
      <c r="J506" s="115">
        <v>11208.39</v>
      </c>
      <c r="K506" s="115">
        <v>9182.52</v>
      </c>
      <c r="L506" s="115">
        <v>10779.41</v>
      </c>
      <c r="M506" s="115">
        <v>9179.07</v>
      </c>
      <c r="N506" s="115">
        <v>15108.7</v>
      </c>
      <c r="O506" s="115">
        <v>13793.33</v>
      </c>
      <c r="P506" s="115">
        <v>15174.94</v>
      </c>
      <c r="Q506" s="115">
        <f t="shared" si="37"/>
        <v>142839.31</v>
      </c>
      <c r="R506" s="108"/>
      <c r="S506" s="270"/>
      <c r="U506" s="253"/>
    </row>
    <row r="507" spans="1:21" ht="12.75">
      <c r="A507" s="116">
        <f t="shared" si="36"/>
        <v>501</v>
      </c>
      <c r="B507" s="111" t="s">
        <v>1173</v>
      </c>
      <c r="C507" s="9">
        <v>12753</v>
      </c>
      <c r="D507" s="129" t="s">
        <v>588</v>
      </c>
      <c r="E507" s="115">
        <v>4108.25</v>
      </c>
      <c r="F507" s="115">
        <v>4927.4</v>
      </c>
      <c r="G507" s="115">
        <v>5108.45</v>
      </c>
      <c r="H507" s="115">
        <v>4180.03</v>
      </c>
      <c r="I507" s="115">
        <v>3906.44</v>
      </c>
      <c r="J507" s="115">
        <v>5008.08</v>
      </c>
      <c r="K507" s="115">
        <v>3940.59</v>
      </c>
      <c r="L507" s="115">
        <v>4013.73</v>
      </c>
      <c r="M507" s="115">
        <v>4523.64</v>
      </c>
      <c r="N507" s="115">
        <v>4527.78</v>
      </c>
      <c r="O507" s="115">
        <v>5532.65</v>
      </c>
      <c r="P507" s="115">
        <v>5129.92</v>
      </c>
      <c r="Q507" s="115">
        <f t="shared" si="37"/>
        <v>54906.95999999999</v>
      </c>
      <c r="R507" s="108"/>
      <c r="S507" s="270"/>
      <c r="U507" s="253"/>
    </row>
    <row r="508" spans="1:21" ht="12.75">
      <c r="A508" s="116">
        <f t="shared" si="36"/>
        <v>502</v>
      </c>
      <c r="B508" s="111" t="s">
        <v>1174</v>
      </c>
      <c r="C508" s="9">
        <v>21782</v>
      </c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15">
        <f t="shared" si="37"/>
        <v>0</v>
      </c>
      <c r="S508" s="270"/>
      <c r="U508" s="253"/>
    </row>
    <row r="509" spans="1:21" ht="12.75">
      <c r="A509" s="116">
        <f t="shared" si="36"/>
        <v>503</v>
      </c>
      <c r="B509" s="111" t="s">
        <v>1175</v>
      </c>
      <c r="C509" s="9">
        <v>21784</v>
      </c>
      <c r="D509" s="122">
        <v>2</v>
      </c>
      <c r="E509" s="113">
        <f>ROUND(0.04*521.42,0)*3.53*2</f>
        <v>148.26</v>
      </c>
      <c r="F509" s="114">
        <f>ROUND(0.04*409.08,0)*3.53*2</f>
        <v>112.96</v>
      </c>
      <c r="G509" s="114">
        <f>ROUND(0.04*366.33,0)*3.53*2</f>
        <v>105.89999999999999</v>
      </c>
      <c r="H509" s="114">
        <f>ROUND(0.04*254.17,0)*3.53*2</f>
        <v>70.6</v>
      </c>
      <c r="I509" s="114">
        <f>ROUND(0.04*168.83,0)*3.53*2</f>
        <v>49.419999999999995</v>
      </c>
      <c r="J509" s="114">
        <f>ROUND(0.04*102.5,0)*3.53*2</f>
        <v>28.24</v>
      </c>
      <c r="K509" s="114">
        <f>ROUND(0.04*143.25,0)*3.84*2</f>
        <v>46.08</v>
      </c>
      <c r="L509" s="114">
        <f>(0.04*235.08)*3.84*2</f>
        <v>72.216576</v>
      </c>
      <c r="M509" s="240">
        <f>(0.04*314.166)*3.84*2</f>
        <v>96.5117952</v>
      </c>
      <c r="N509" s="240"/>
      <c r="O509" s="240"/>
      <c r="P509" s="240"/>
      <c r="Q509" s="115">
        <f t="shared" si="37"/>
        <v>730.1883711999999</v>
      </c>
      <c r="R509" s="108" t="s">
        <v>279</v>
      </c>
      <c r="S509" s="270"/>
      <c r="U509" s="253"/>
    </row>
    <row r="510" spans="1:21" ht="12.75">
      <c r="A510" s="116">
        <f t="shared" si="36"/>
        <v>504</v>
      </c>
      <c r="B510" s="111" t="s">
        <v>1176</v>
      </c>
      <c r="C510" s="9">
        <v>21786</v>
      </c>
      <c r="D510" s="122">
        <v>2</v>
      </c>
      <c r="E510" s="113">
        <f>ROUND(0.04*521.42,0)*3.53*2</f>
        <v>148.26</v>
      </c>
      <c r="F510" s="114">
        <f>ROUND(0.04*409.08,0)*3.53*2</f>
        <v>112.96</v>
      </c>
      <c r="G510" s="114">
        <f>ROUND(0.04*366.33,0)*3.53*2</f>
        <v>105.89999999999999</v>
      </c>
      <c r="H510" s="114">
        <f>ROUND(0.04*254.17,0)*3.53*2</f>
        <v>70.6</v>
      </c>
      <c r="I510" s="114">
        <f>ROUND(0.04*168.83,0)*3.53*2</f>
        <v>49.419999999999995</v>
      </c>
      <c r="J510" s="114">
        <f>ROUND(0.04*102.5,0)*3.53*2</f>
        <v>28.24</v>
      </c>
      <c r="K510" s="114">
        <f>ROUND(0.04*143.25,0)*3.84*2</f>
        <v>46.08</v>
      </c>
      <c r="L510" s="114">
        <f>(0.04*235.08)*3.84*2</f>
        <v>72.216576</v>
      </c>
      <c r="M510" s="240">
        <f>(0.04*314.166)*3.84*2</f>
        <v>96.5117952</v>
      </c>
      <c r="N510" s="260">
        <f>(0.04*430.833)*3.84*2</f>
        <v>132.35189760000003</v>
      </c>
      <c r="O510" s="260"/>
      <c r="P510" s="260"/>
      <c r="Q510" s="115">
        <f t="shared" si="37"/>
        <v>862.5402687999999</v>
      </c>
      <c r="R510" s="108"/>
      <c r="S510" s="270"/>
      <c r="U510" s="253"/>
    </row>
    <row r="511" spans="1:21" ht="12.75">
      <c r="A511" s="116">
        <f t="shared" si="36"/>
        <v>505</v>
      </c>
      <c r="B511" s="111" t="s">
        <v>518</v>
      </c>
      <c r="C511" s="9">
        <v>21780</v>
      </c>
      <c r="D511" s="128" t="s">
        <v>584</v>
      </c>
      <c r="E511" s="142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5">
        <f t="shared" si="37"/>
        <v>0</v>
      </c>
      <c r="R511" s="108" t="s">
        <v>283</v>
      </c>
      <c r="S511" s="270"/>
      <c r="U511" s="253"/>
    </row>
    <row r="512" spans="1:21" ht="12.75">
      <c r="A512" s="116">
        <f t="shared" si="36"/>
        <v>506</v>
      </c>
      <c r="B512" s="111" t="s">
        <v>700</v>
      </c>
      <c r="C512" s="245">
        <v>21798</v>
      </c>
      <c r="D512" s="230" t="s">
        <v>717</v>
      </c>
      <c r="E512" s="114"/>
      <c r="F512" s="114"/>
      <c r="G512" s="114"/>
      <c r="H512" s="151">
        <v>0</v>
      </c>
      <c r="I512" s="151">
        <v>0</v>
      </c>
      <c r="J512" s="151">
        <v>0</v>
      </c>
      <c r="K512" s="151">
        <v>0</v>
      </c>
      <c r="L512" s="151">
        <v>0</v>
      </c>
      <c r="M512" s="151">
        <v>0</v>
      </c>
      <c r="N512" s="151">
        <v>0</v>
      </c>
      <c r="O512" s="151">
        <v>0</v>
      </c>
      <c r="P512" s="151"/>
      <c r="Q512" s="115">
        <f t="shared" si="37"/>
        <v>0</v>
      </c>
      <c r="R512" s="108"/>
      <c r="S512" s="270"/>
      <c r="U512" s="253"/>
    </row>
    <row r="513" spans="1:21" ht="12.75">
      <c r="A513" s="116">
        <f t="shared" si="36"/>
        <v>507</v>
      </c>
      <c r="B513" s="111" t="s">
        <v>1177</v>
      </c>
      <c r="C513" s="9">
        <v>12754</v>
      </c>
      <c r="D513" s="129" t="s">
        <v>588</v>
      </c>
      <c r="E513" s="115">
        <v>5978.28</v>
      </c>
      <c r="F513" s="115">
        <v>6020.8</v>
      </c>
      <c r="G513" s="115">
        <v>3919.2</v>
      </c>
      <c r="H513" s="115">
        <v>3973.2</v>
      </c>
      <c r="I513" s="115">
        <v>3061.99</v>
      </c>
      <c r="J513" s="115">
        <v>17548.02</v>
      </c>
      <c r="K513" s="115">
        <v>4604.6</v>
      </c>
      <c r="L513" s="115">
        <v>7181.29</v>
      </c>
      <c r="M513" s="115">
        <v>7515.25</v>
      </c>
      <c r="N513" s="115">
        <v>8711.48</v>
      </c>
      <c r="O513" s="115">
        <v>8844.42</v>
      </c>
      <c r="P513" s="115">
        <v>8691.93</v>
      </c>
      <c r="Q513" s="115">
        <f t="shared" si="37"/>
        <v>86050.45999999999</v>
      </c>
      <c r="R513" s="108"/>
      <c r="S513" s="270"/>
      <c r="U513" s="253"/>
    </row>
    <row r="514" spans="1:21" ht="12.75">
      <c r="A514" s="116">
        <f t="shared" si="36"/>
        <v>508</v>
      </c>
      <c r="B514" s="111" t="s">
        <v>1178</v>
      </c>
      <c r="C514" s="9">
        <v>12756</v>
      </c>
      <c r="D514" s="122" t="s">
        <v>590</v>
      </c>
      <c r="E514" s="115">
        <v>204.74</v>
      </c>
      <c r="F514" s="115">
        <v>187.09</v>
      </c>
      <c r="G514" s="115">
        <v>416.53999999999996</v>
      </c>
      <c r="H514" s="115">
        <v>155.32</v>
      </c>
      <c r="I514" s="115">
        <v>120.02</v>
      </c>
      <c r="J514" s="115">
        <v>95.31</v>
      </c>
      <c r="K514" s="115">
        <v>176.64</v>
      </c>
      <c r="L514" s="115">
        <v>199.68</v>
      </c>
      <c r="M514" s="115">
        <v>234.24</v>
      </c>
      <c r="N514" s="115">
        <v>238.08</v>
      </c>
      <c r="O514" s="115">
        <v>264.96</v>
      </c>
      <c r="P514" s="115">
        <v>253.44</v>
      </c>
      <c r="Q514" s="115">
        <f t="shared" si="37"/>
        <v>2546.06</v>
      </c>
      <c r="R514" s="108"/>
      <c r="S514" s="270"/>
      <c r="U514" s="253"/>
    </row>
    <row r="515" spans="1:21" ht="12.75">
      <c r="A515" s="116">
        <f t="shared" si="36"/>
        <v>509</v>
      </c>
      <c r="B515" s="111" t="s">
        <v>1179</v>
      </c>
      <c r="C515" s="9">
        <v>21497</v>
      </c>
      <c r="D515" s="122" t="s">
        <v>584</v>
      </c>
      <c r="E515" s="136"/>
      <c r="F515" s="115"/>
      <c r="G515" s="115"/>
      <c r="H515" s="115"/>
      <c r="I515" s="115"/>
      <c r="J515" s="115"/>
      <c r="K515" s="115"/>
      <c r="L515" s="115"/>
      <c r="M515" s="115"/>
      <c r="N515" s="119"/>
      <c r="O515" s="119"/>
      <c r="P515" s="119"/>
      <c r="Q515" s="115">
        <f t="shared" si="37"/>
        <v>0</v>
      </c>
      <c r="R515" s="108" t="s">
        <v>283</v>
      </c>
      <c r="S515" s="270"/>
      <c r="U515" s="253"/>
    </row>
    <row r="516" spans="1:21" ht="12.75">
      <c r="A516" s="116">
        <f t="shared" si="36"/>
        <v>510</v>
      </c>
      <c r="B516" s="111" t="s">
        <v>1180</v>
      </c>
      <c r="C516" s="9">
        <v>21278</v>
      </c>
      <c r="D516" s="122">
        <v>4</v>
      </c>
      <c r="E516" s="113">
        <f>ROUND(0.04*521.42,0)*3.53*4</f>
        <v>296.52</v>
      </c>
      <c r="F516" s="114">
        <f>ROUND(0.04*409.08,0)*3.53*4</f>
        <v>225.92</v>
      </c>
      <c r="G516" s="114">
        <f>ROUND(0.04*366.33,0)*3.53*4</f>
        <v>211.79999999999998</v>
      </c>
      <c r="H516" s="114">
        <f>ROUND(0.04*254.17,0)*3.53*4</f>
        <v>141.2</v>
      </c>
      <c r="I516" s="114">
        <f>ROUND(0.04*168.83,0)*3.53*4</f>
        <v>98.83999999999999</v>
      </c>
      <c r="J516" s="114">
        <f>ROUND(0.04*102.5,0)*3.53*4</f>
        <v>56.48</v>
      </c>
      <c r="K516" s="114">
        <f>ROUND(0.04*143.25,0)*3.84*4</f>
        <v>92.16</v>
      </c>
      <c r="L516" s="114">
        <f>(0.04*235.08)*3.84*4</f>
        <v>144.433152</v>
      </c>
      <c r="M516" s="119"/>
      <c r="N516" s="119"/>
      <c r="O516" s="119"/>
      <c r="P516" s="119"/>
      <c r="Q516" s="115">
        <f t="shared" si="37"/>
        <v>1267.353152</v>
      </c>
      <c r="R516" s="108" t="s">
        <v>277</v>
      </c>
      <c r="S516" s="270"/>
      <c r="U516" s="253"/>
    </row>
    <row r="517" spans="1:21" ht="12.75">
      <c r="A517" s="116">
        <f t="shared" si="36"/>
        <v>511</v>
      </c>
      <c r="B517" s="111" t="s">
        <v>1181</v>
      </c>
      <c r="C517" s="9">
        <v>21272</v>
      </c>
      <c r="D517" s="122">
        <v>3</v>
      </c>
      <c r="E517" s="113">
        <f>ROUND(0.04*521.42,0)*3.53*3</f>
        <v>222.39</v>
      </c>
      <c r="F517" s="114">
        <f>ROUND(0.04*409.08,0)*3.53*3</f>
        <v>169.44</v>
      </c>
      <c r="G517" s="114">
        <f>ROUND(0.04*366.33,0)*3.53*3</f>
        <v>158.85</v>
      </c>
      <c r="H517" s="114">
        <f>ROUND(0.04*254.17,0)*3.53*3</f>
        <v>105.89999999999999</v>
      </c>
      <c r="I517" s="114">
        <f>ROUND(0.04*168.83,0)*3.53*3</f>
        <v>74.13</v>
      </c>
      <c r="J517" s="114">
        <f>ROUND(0.04*102.5,0)*3.53*3</f>
        <v>42.36</v>
      </c>
      <c r="K517" s="114">
        <f>ROUND(0.04*143.25,0)*3.84*3</f>
        <v>69.12</v>
      </c>
      <c r="L517" s="114">
        <f>(0.04*235.08)*3.84*3</f>
        <v>108.324864</v>
      </c>
      <c r="M517" s="114">
        <f>(0.04*314.166)*3.84*3</f>
        <v>144.7676928</v>
      </c>
      <c r="N517" s="114">
        <f>(0.04*430.833)*3.84*3</f>
        <v>198.52784640000004</v>
      </c>
      <c r="O517" s="289">
        <f>28.6*2.83*3.84</f>
        <v>310.80192</v>
      </c>
      <c r="P517" s="289">
        <f>28.6*2.83*3.84</f>
        <v>310.80192</v>
      </c>
      <c r="Q517" s="115">
        <f t="shared" si="37"/>
        <v>1915.4142431999999</v>
      </c>
      <c r="R517" s="108"/>
      <c r="S517" s="270"/>
      <c r="U517" s="253"/>
    </row>
    <row r="518" spans="1:21" ht="12.75">
      <c r="A518" s="116">
        <f t="shared" si="36"/>
        <v>512</v>
      </c>
      <c r="B518" s="111" t="s">
        <v>525</v>
      </c>
      <c r="C518" s="244">
        <v>12684</v>
      </c>
      <c r="D518" s="122" t="s">
        <v>584</v>
      </c>
      <c r="E518" s="115"/>
      <c r="F518" s="115"/>
      <c r="G518" s="136">
        <f>ROUND(0.04*366.33,0)*3.53*4</f>
        <v>211.79999999999998</v>
      </c>
      <c r="H518" s="136">
        <f>ROUND(0.04*254.17,0)*3.53*4</f>
        <v>141.2</v>
      </c>
      <c r="I518" s="136">
        <f>ROUND(0.04*168.83,0)*3.53*4</f>
        <v>98.83999999999999</v>
      </c>
      <c r="J518" s="136">
        <v>0</v>
      </c>
      <c r="K518" s="136">
        <v>0</v>
      </c>
      <c r="L518" s="136">
        <v>0</v>
      </c>
      <c r="M518" s="136">
        <v>0</v>
      </c>
      <c r="N518" s="142"/>
      <c r="O518" s="142"/>
      <c r="P518" s="142"/>
      <c r="Q518" s="115">
        <f t="shared" si="37"/>
        <v>451.84</v>
      </c>
      <c r="R518" s="108" t="s">
        <v>297</v>
      </c>
      <c r="S518" s="273"/>
      <c r="U518" s="253"/>
    </row>
    <row r="519" spans="1:21" ht="12.75">
      <c r="A519" s="116">
        <f t="shared" si="36"/>
        <v>513</v>
      </c>
      <c r="B519" s="111" t="s">
        <v>1182</v>
      </c>
      <c r="C519" s="243">
        <v>12690</v>
      </c>
      <c r="D519" s="12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5">
        <f t="shared" si="37"/>
        <v>0</v>
      </c>
      <c r="R519" s="108"/>
      <c r="S519" s="270"/>
      <c r="U519" s="253"/>
    </row>
    <row r="520" spans="1:21" ht="12.75">
      <c r="A520" s="116">
        <f t="shared" si="36"/>
        <v>514</v>
      </c>
      <c r="B520" s="111" t="s">
        <v>1183</v>
      </c>
      <c r="C520" s="9">
        <v>12693</v>
      </c>
      <c r="D520" s="122">
        <v>4</v>
      </c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15">
        <f t="shared" si="37"/>
        <v>0</v>
      </c>
      <c r="R520" s="108"/>
      <c r="S520" s="270"/>
      <c r="U520" s="253"/>
    </row>
    <row r="521" spans="1:21" ht="12.75">
      <c r="A521" s="116">
        <f aca="true" t="shared" si="38" ref="A521:A584">A520+1</f>
        <v>515</v>
      </c>
      <c r="B521" s="111" t="s">
        <v>1184</v>
      </c>
      <c r="C521" s="9">
        <v>12697</v>
      </c>
      <c r="D521" s="122">
        <v>4</v>
      </c>
      <c r="E521" s="113">
        <f>ROUND(0.04*521.42,0)*3.53*4</f>
        <v>296.52</v>
      </c>
      <c r="F521" s="114">
        <f>ROUND(0.04*409.08,0)*3.53*4</f>
        <v>225.92</v>
      </c>
      <c r="G521" s="114">
        <f>ROUND(0.04*366.33,0)*3.53*4</f>
        <v>211.79999999999998</v>
      </c>
      <c r="H521" s="114">
        <f>ROUND(0.04*254.17,0)*3.53*4</f>
        <v>141.2</v>
      </c>
      <c r="I521" s="114">
        <f>ROUND(0.04*168.83,0)*3.53*4</f>
        <v>98.83999999999999</v>
      </c>
      <c r="J521" s="114">
        <f>ROUND(0.04*102.5,0)*3.53*4</f>
        <v>56.48</v>
      </c>
      <c r="K521" s="114">
        <f>ROUND(0.04*143.25,0)*3.84*4</f>
        <v>92.16</v>
      </c>
      <c r="L521" s="114">
        <f>(0.04*235.08)*3.84*4</f>
        <v>144.433152</v>
      </c>
      <c r="M521" s="183">
        <f>34.4*2.83*3.84</f>
        <v>373.83168</v>
      </c>
      <c r="N521" s="183">
        <f>34.4*2.83*3.84</f>
        <v>373.83168</v>
      </c>
      <c r="O521" s="183">
        <f>34.4*2.83*3.84</f>
        <v>373.83168</v>
      </c>
      <c r="P521" s="183">
        <f>34.4*2.83*3.84</f>
        <v>373.83168</v>
      </c>
      <c r="Q521" s="115">
        <f t="shared" si="37"/>
        <v>2762.6798719999997</v>
      </c>
      <c r="R521" s="108"/>
      <c r="S521" s="270"/>
      <c r="U521" s="253"/>
    </row>
    <row r="522" spans="1:21" ht="12.75">
      <c r="A522" s="116">
        <f t="shared" si="38"/>
        <v>516</v>
      </c>
      <c r="B522" s="111" t="s">
        <v>529</v>
      </c>
      <c r="C522" s="9">
        <v>12700</v>
      </c>
      <c r="D522" s="122" t="s">
        <v>584</v>
      </c>
      <c r="E522" s="115"/>
      <c r="F522" s="115"/>
      <c r="G522" s="136">
        <f>ROUND(0.04*366.33,0)*3.53*4</f>
        <v>211.79999999999998</v>
      </c>
      <c r="H522" s="136">
        <f>ROUND(0.04*254.17,0)*3.53*4</f>
        <v>141.2</v>
      </c>
      <c r="I522" s="136">
        <f>ROUND(0.04*168.83,0)*3.53*4</f>
        <v>98.83999999999999</v>
      </c>
      <c r="J522" s="136">
        <v>0</v>
      </c>
      <c r="K522" s="136">
        <v>0</v>
      </c>
      <c r="L522" s="136">
        <v>0</v>
      </c>
      <c r="M522" s="136">
        <v>0</v>
      </c>
      <c r="N522" s="136">
        <v>0</v>
      </c>
      <c r="O522" s="136">
        <v>0</v>
      </c>
      <c r="P522" s="136">
        <v>0</v>
      </c>
      <c r="Q522" s="115">
        <f t="shared" si="37"/>
        <v>451.84</v>
      </c>
      <c r="R522" s="108" t="s">
        <v>298</v>
      </c>
      <c r="S522" s="273"/>
      <c r="U522" s="253"/>
    </row>
    <row r="523" spans="1:21" ht="12.75">
      <c r="A523" s="116">
        <f t="shared" si="38"/>
        <v>517</v>
      </c>
      <c r="B523" s="111" t="s">
        <v>701</v>
      </c>
      <c r="C523" s="9">
        <v>12701</v>
      </c>
      <c r="D523" s="122" t="s">
        <v>717</v>
      </c>
      <c r="E523" s="113"/>
      <c r="F523" s="115"/>
      <c r="G523" s="115"/>
      <c r="H523" s="115"/>
      <c r="I523" s="115"/>
      <c r="J523" s="115"/>
      <c r="K523" s="115"/>
      <c r="L523" s="115"/>
      <c r="M523" s="115"/>
      <c r="N523" s="119"/>
      <c r="O523" s="119"/>
      <c r="P523" s="119"/>
      <c r="Q523" s="115">
        <f t="shared" si="37"/>
        <v>0</v>
      </c>
      <c r="R523" s="108" t="s">
        <v>716</v>
      </c>
      <c r="S523" s="272"/>
      <c r="U523" s="253"/>
    </row>
    <row r="524" spans="1:21" ht="12.75">
      <c r="A524" s="116">
        <f t="shared" si="38"/>
        <v>518</v>
      </c>
      <c r="B524" s="111" t="s">
        <v>1185</v>
      </c>
      <c r="C524" s="9">
        <v>12703</v>
      </c>
      <c r="D524" s="128">
        <v>4</v>
      </c>
      <c r="E524" s="119">
        <f>ROUND(0.04*521.42,0)*3.53*4</f>
        <v>296.52</v>
      </c>
      <c r="F524" s="119">
        <f>ROUND(0.04*409.08,0)*3.53*4</f>
        <v>225.92</v>
      </c>
      <c r="G524" s="119">
        <f>ROUND(0.04*366.33,0)*3.53*4</f>
        <v>211.79999999999998</v>
      </c>
      <c r="H524" s="119">
        <f>ROUND(0.04*254.17,0)*3.53*4</f>
        <v>141.2</v>
      </c>
      <c r="I524" s="119">
        <f>ROUND(0.04*168.83,0)*3.53*4</f>
        <v>98.83999999999999</v>
      </c>
      <c r="J524" s="119">
        <v>0</v>
      </c>
      <c r="K524" s="119">
        <v>0</v>
      </c>
      <c r="L524" s="119">
        <v>0</v>
      </c>
      <c r="M524" s="119">
        <v>0</v>
      </c>
      <c r="N524" s="119">
        <v>0</v>
      </c>
      <c r="O524" s="119">
        <v>0</v>
      </c>
      <c r="P524" s="119">
        <v>0</v>
      </c>
      <c r="Q524" s="115">
        <f t="shared" si="37"/>
        <v>974.2799999999999</v>
      </c>
      <c r="R524" s="124" t="s">
        <v>1186</v>
      </c>
      <c r="S524" s="270"/>
      <c r="U524" s="253"/>
    </row>
    <row r="525" spans="1:21" ht="12.75">
      <c r="A525" s="116">
        <f t="shared" si="38"/>
        <v>519</v>
      </c>
      <c r="B525" s="111" t="s">
        <v>1187</v>
      </c>
      <c r="C525" s="9">
        <v>12704</v>
      </c>
      <c r="D525" s="130" t="s">
        <v>1188</v>
      </c>
      <c r="E525" s="133">
        <f aca="true" t="shared" si="39" ref="E525:J525">46.5*2.83*3.53</f>
        <v>464.53035</v>
      </c>
      <c r="F525" s="133">
        <f t="shared" si="39"/>
        <v>464.53035</v>
      </c>
      <c r="G525" s="133">
        <f t="shared" si="39"/>
        <v>464.53035</v>
      </c>
      <c r="H525" s="133">
        <f t="shared" si="39"/>
        <v>464.53035</v>
      </c>
      <c r="I525" s="133">
        <f t="shared" si="39"/>
        <v>464.53035</v>
      </c>
      <c r="J525" s="133">
        <f t="shared" si="39"/>
        <v>464.53035</v>
      </c>
      <c r="K525" s="133">
        <f aca="true" t="shared" si="40" ref="K525:P525">46.5*2.83*3.84</f>
        <v>505.3248</v>
      </c>
      <c r="L525" s="133">
        <f t="shared" si="40"/>
        <v>505.3248</v>
      </c>
      <c r="M525" s="183">
        <f t="shared" si="40"/>
        <v>505.3248</v>
      </c>
      <c r="N525" s="183">
        <f t="shared" si="40"/>
        <v>505.3248</v>
      </c>
      <c r="O525" s="183">
        <f t="shared" si="40"/>
        <v>505.3248</v>
      </c>
      <c r="P525" s="183">
        <f t="shared" si="40"/>
        <v>505.3248</v>
      </c>
      <c r="Q525" s="115">
        <f t="shared" si="37"/>
        <v>5819.130900000001</v>
      </c>
      <c r="R525" s="108"/>
      <c r="S525" s="270"/>
      <c r="U525" s="253"/>
    </row>
    <row r="526" spans="1:21" ht="12.75">
      <c r="A526" s="116">
        <f t="shared" si="38"/>
        <v>520</v>
      </c>
      <c r="B526" s="111" t="s">
        <v>1189</v>
      </c>
      <c r="C526" s="9">
        <v>12676</v>
      </c>
      <c r="D526" s="122">
        <v>4</v>
      </c>
      <c r="E526" s="113">
        <f>ROUND(0.04*521.42,0)*3.53*4</f>
        <v>296.52</v>
      </c>
      <c r="F526" s="114">
        <f>ROUND(0.04*409.08,0)*3.53*4</f>
        <v>225.92</v>
      </c>
      <c r="G526" s="114">
        <f>ROUND(0.04*366.33,0)*3.53*4</f>
        <v>211.79999999999998</v>
      </c>
      <c r="H526" s="114">
        <f>ROUND(0.04*254.17,0)*3.53*4</f>
        <v>141.2</v>
      </c>
      <c r="I526" s="114">
        <f>ROUND(0.04*168.83,0)*3.53*4</f>
        <v>98.83999999999999</v>
      </c>
      <c r="J526" s="114">
        <f>ROUND(0.04*102.5,0)*3.53*4</f>
        <v>56.48</v>
      </c>
      <c r="K526" s="114">
        <f>ROUND(0.04*143.25,0)*3.84*4</f>
        <v>92.16</v>
      </c>
      <c r="L526" s="114">
        <f>(0.04*235.08)*3.84*4</f>
        <v>144.433152</v>
      </c>
      <c r="M526" s="183">
        <f>24.5*2.83*3.84</f>
        <v>266.2464</v>
      </c>
      <c r="N526" s="183">
        <f>24.5*2.83*3.84</f>
        <v>266.2464</v>
      </c>
      <c r="O526" s="183">
        <f>24.5*2.83*3.84</f>
        <v>266.2464</v>
      </c>
      <c r="P526" s="183">
        <f>24.5*2.83*3.84</f>
        <v>266.2464</v>
      </c>
      <c r="Q526" s="115">
        <f t="shared" si="37"/>
        <v>2332.3387519999997</v>
      </c>
      <c r="R526" s="108"/>
      <c r="S526" s="270"/>
      <c r="U526" s="253"/>
    </row>
    <row r="527" spans="1:21" ht="12.75">
      <c r="A527" s="116">
        <f t="shared" si="38"/>
        <v>521</v>
      </c>
      <c r="B527" s="111" t="s">
        <v>1190</v>
      </c>
      <c r="C527" s="9">
        <v>12677</v>
      </c>
      <c r="D527" s="122">
        <v>4</v>
      </c>
      <c r="E527" s="113">
        <f>ROUND(0.04*521.42,0)*3.53*4</f>
        <v>296.52</v>
      </c>
      <c r="F527" s="114">
        <f>ROUND(0.04*409.08,0)*3.53*4</f>
        <v>225.92</v>
      </c>
      <c r="G527" s="114">
        <f>ROUND(0.04*366.33,0)*3.53*4</f>
        <v>211.79999999999998</v>
      </c>
      <c r="H527" s="114">
        <f>ROUND(0.04*254.17,0)*3.53*4</f>
        <v>141.2</v>
      </c>
      <c r="I527" s="114">
        <f>ROUND(0.04*168.83,0)*3.53*4</f>
        <v>98.83999999999999</v>
      </c>
      <c r="J527" s="114">
        <f>ROUND(0.04*102.5,0)*3.53*4</f>
        <v>56.48</v>
      </c>
      <c r="K527" s="114">
        <f>ROUND(0.04*143.25,0)*3.84*4</f>
        <v>92.16</v>
      </c>
      <c r="L527" s="114">
        <f>(0.04*235.08)*3.84*4</f>
        <v>144.433152</v>
      </c>
      <c r="M527" s="183">
        <f>35.9*2.83*3.84</f>
        <v>390.13248</v>
      </c>
      <c r="N527" s="183">
        <f>35.9*2.83*3.84</f>
        <v>390.13248</v>
      </c>
      <c r="O527" s="183">
        <f>35.9*2.83*3.84</f>
        <v>390.13248</v>
      </c>
      <c r="P527" s="183">
        <f>35.9*2.83*3.84</f>
        <v>390.13248</v>
      </c>
      <c r="Q527" s="115">
        <f t="shared" si="37"/>
        <v>2827.8830719999996</v>
      </c>
      <c r="R527" s="108"/>
      <c r="S527" s="270"/>
      <c r="U527" s="253"/>
    </row>
    <row r="528" spans="1:21" ht="12.75">
      <c r="A528" s="116">
        <f t="shared" si="38"/>
        <v>522</v>
      </c>
      <c r="B528" s="111" t="s">
        <v>702</v>
      </c>
      <c r="C528" s="77">
        <v>21501</v>
      </c>
      <c r="D528" s="229" t="s">
        <v>717</v>
      </c>
      <c r="E528" s="125"/>
      <c r="F528" s="125"/>
      <c r="G528" s="125"/>
      <c r="H528" s="125"/>
      <c r="I528" s="125"/>
      <c r="J528" s="125"/>
      <c r="K528" s="125"/>
      <c r="L528" s="125"/>
      <c r="M528" s="125"/>
      <c r="N528" s="236"/>
      <c r="O528" s="236"/>
      <c r="P528" s="236"/>
      <c r="Q528" s="115">
        <f t="shared" si="37"/>
        <v>0</v>
      </c>
      <c r="S528" s="270"/>
      <c r="U528" s="253"/>
    </row>
    <row r="529" spans="1:21" ht="12.75">
      <c r="A529" s="116">
        <f t="shared" si="38"/>
        <v>523</v>
      </c>
      <c r="B529" s="111" t="s">
        <v>703</v>
      </c>
      <c r="C529" s="12">
        <v>21507</v>
      </c>
      <c r="D529" s="230" t="s">
        <v>717</v>
      </c>
      <c r="E529" s="125"/>
      <c r="F529" s="125"/>
      <c r="G529" s="125"/>
      <c r="H529" s="151">
        <v>0</v>
      </c>
      <c r="I529" s="151">
        <v>0</v>
      </c>
      <c r="J529" s="151">
        <v>0</v>
      </c>
      <c r="K529" s="151">
        <v>0</v>
      </c>
      <c r="L529" s="151">
        <v>0</v>
      </c>
      <c r="M529" s="151">
        <v>0</v>
      </c>
      <c r="N529" s="231">
        <v>0</v>
      </c>
      <c r="O529" s="231">
        <v>0</v>
      </c>
      <c r="P529" s="231">
        <v>0</v>
      </c>
      <c r="Q529" s="115">
        <f t="shared" si="37"/>
        <v>0</v>
      </c>
      <c r="S529" s="270"/>
      <c r="U529" s="253"/>
    </row>
    <row r="530" spans="1:21" ht="12.75">
      <c r="A530" s="116">
        <f t="shared" si="38"/>
        <v>524</v>
      </c>
      <c r="B530" s="111" t="s">
        <v>704</v>
      </c>
      <c r="C530" s="12">
        <v>21510</v>
      </c>
      <c r="D530" s="230" t="s">
        <v>717</v>
      </c>
      <c r="E530" s="125"/>
      <c r="F530" s="125"/>
      <c r="G530" s="125"/>
      <c r="H530" s="151">
        <v>0</v>
      </c>
      <c r="I530" s="151">
        <v>0</v>
      </c>
      <c r="J530" s="151">
        <v>0</v>
      </c>
      <c r="K530" s="151">
        <v>0</v>
      </c>
      <c r="L530" s="151">
        <v>0</v>
      </c>
      <c r="M530" s="151">
        <v>0</v>
      </c>
      <c r="N530" s="231">
        <v>0</v>
      </c>
      <c r="O530" s="231">
        <v>0</v>
      </c>
      <c r="P530" s="231">
        <v>0</v>
      </c>
      <c r="Q530" s="115">
        <f t="shared" si="37"/>
        <v>0</v>
      </c>
      <c r="S530" s="270"/>
      <c r="U530" s="253"/>
    </row>
    <row r="531" spans="1:21" ht="12.75">
      <c r="A531" s="116">
        <f t="shared" si="38"/>
        <v>525</v>
      </c>
      <c r="B531" s="111" t="s">
        <v>1191</v>
      </c>
      <c r="C531" s="9">
        <v>21861</v>
      </c>
      <c r="D531" s="122" t="s">
        <v>585</v>
      </c>
      <c r="E531" s="131">
        <v>0</v>
      </c>
      <c r="F531" s="131">
        <v>1</v>
      </c>
      <c r="G531" s="131">
        <v>0</v>
      </c>
      <c r="H531" s="115">
        <v>0</v>
      </c>
      <c r="I531" s="115">
        <v>0</v>
      </c>
      <c r="J531" s="115">
        <v>0</v>
      </c>
      <c r="K531" s="115">
        <v>0</v>
      </c>
      <c r="L531" s="115">
        <v>0</v>
      </c>
      <c r="M531" s="183">
        <f>24*2.83*3.84</f>
        <v>260.8128</v>
      </c>
      <c r="N531" s="183">
        <f>24*2.83*3.84</f>
        <v>260.8128</v>
      </c>
      <c r="O531" s="183">
        <f>24*2.83*3.84</f>
        <v>260.8128</v>
      </c>
      <c r="P531" s="183">
        <f>24*2.83*3.84</f>
        <v>260.8128</v>
      </c>
      <c r="Q531" s="115">
        <f t="shared" si="37"/>
        <v>1044.2512</v>
      </c>
      <c r="R531" s="108"/>
      <c r="S531" s="271"/>
      <c r="U531" s="253"/>
    </row>
    <row r="532" spans="1:21" ht="12.75">
      <c r="A532" s="116">
        <f t="shared" si="38"/>
        <v>526</v>
      </c>
      <c r="B532" s="111" t="s">
        <v>1192</v>
      </c>
      <c r="C532" s="9">
        <v>21862</v>
      </c>
      <c r="D532" s="122" t="s">
        <v>585</v>
      </c>
      <c r="E532" s="115">
        <v>56.85</v>
      </c>
      <c r="F532" s="115">
        <v>31.27</v>
      </c>
      <c r="G532" s="115">
        <v>59.72</v>
      </c>
      <c r="H532" s="115">
        <v>17.07</v>
      </c>
      <c r="I532" s="115">
        <v>21.35</v>
      </c>
      <c r="J532" s="115">
        <v>6.42</v>
      </c>
      <c r="K532" s="115">
        <v>2.3</v>
      </c>
      <c r="L532" s="115">
        <v>10.81</v>
      </c>
      <c r="M532" s="115">
        <v>13.11</v>
      </c>
      <c r="N532" s="115">
        <v>14.72</v>
      </c>
      <c r="O532" s="115">
        <v>20.93</v>
      </c>
      <c r="P532" s="115">
        <v>28.75</v>
      </c>
      <c r="Q532" s="115">
        <f t="shared" si="37"/>
        <v>283.29999999999995</v>
      </c>
      <c r="R532" s="108"/>
      <c r="S532" s="270"/>
      <c r="U532" s="253"/>
    </row>
    <row r="533" spans="1:21" ht="12.75">
      <c r="A533" s="116">
        <f t="shared" si="38"/>
        <v>527</v>
      </c>
      <c r="B533" s="111" t="s">
        <v>1193</v>
      </c>
      <c r="C533" s="9">
        <v>21863</v>
      </c>
      <c r="D533" s="122" t="s">
        <v>585</v>
      </c>
      <c r="E533" s="115">
        <v>282.4</v>
      </c>
      <c r="F533" s="115">
        <v>201.21</v>
      </c>
      <c r="G533" s="115">
        <v>155.32</v>
      </c>
      <c r="H533" s="115">
        <v>74.13</v>
      </c>
      <c r="I533" s="115">
        <v>38.83</v>
      </c>
      <c r="J533" s="115">
        <v>448.31</v>
      </c>
      <c r="K533" s="115">
        <v>3.84</v>
      </c>
      <c r="L533" s="115">
        <v>3.84</v>
      </c>
      <c r="M533" s="115">
        <v>0</v>
      </c>
      <c r="N533" s="115">
        <v>0</v>
      </c>
      <c r="O533" s="115">
        <v>0</v>
      </c>
      <c r="P533" s="115">
        <v>42.24</v>
      </c>
      <c r="Q533" s="115">
        <f t="shared" si="37"/>
        <v>1250.12</v>
      </c>
      <c r="R533" s="108"/>
      <c r="S533" s="270"/>
      <c r="U533" s="253"/>
    </row>
    <row r="534" spans="1:21" ht="12.75">
      <c r="A534" s="116">
        <f t="shared" si="38"/>
        <v>528</v>
      </c>
      <c r="B534" s="111" t="s">
        <v>1194</v>
      </c>
      <c r="C534" s="9">
        <v>21865</v>
      </c>
      <c r="D534" s="122" t="s">
        <v>592</v>
      </c>
      <c r="E534" s="113">
        <f>ROUND(0.04*521.42,0)*3.53*2</f>
        <v>148.26</v>
      </c>
      <c r="F534" s="114">
        <f>ROUND(0.04*409.08,0)*3.53*2</f>
        <v>112.96</v>
      </c>
      <c r="G534" s="114">
        <f>ROUND(0.04*366.33,0)*3.53*2</f>
        <v>105.89999999999999</v>
      </c>
      <c r="H534" s="114">
        <f>ROUND(0.04*254.17,0)*3.53*2</f>
        <v>70.6</v>
      </c>
      <c r="I534" s="114">
        <f>ROUND(0.04*168.83,0)*3.53*2</f>
        <v>49.419999999999995</v>
      </c>
      <c r="J534" s="114">
        <f>ROUND(0.04*102.5,0)*3.53*2</f>
        <v>28.24</v>
      </c>
      <c r="K534" s="114">
        <f>ROUND(0.04*143.25,0)*3.84*2</f>
        <v>46.08</v>
      </c>
      <c r="L534" s="114">
        <f>(0.04*235.08)*3.84*2</f>
        <v>72.216576</v>
      </c>
      <c r="M534" s="240">
        <f>(0.04*314.166)*3.84*2</f>
        <v>96.5117952</v>
      </c>
      <c r="N534" s="260">
        <f>(0.04*430.833)*3.84*2</f>
        <v>132.35189760000003</v>
      </c>
      <c r="O534" s="260"/>
      <c r="P534" s="260"/>
      <c r="Q534" s="115">
        <f t="shared" si="37"/>
        <v>862.5402687999999</v>
      </c>
      <c r="R534" s="108"/>
      <c r="S534" s="270"/>
      <c r="U534" s="253"/>
    </row>
    <row r="535" spans="1:21" ht="12.75">
      <c r="A535" s="116">
        <f t="shared" si="38"/>
        <v>529</v>
      </c>
      <c r="B535" s="111" t="s">
        <v>1195</v>
      </c>
      <c r="C535" s="9">
        <v>22176</v>
      </c>
      <c r="D535" s="122">
        <v>3</v>
      </c>
      <c r="E535" s="113">
        <f>ROUND(0.04*521.42,0)*3.53*3</f>
        <v>222.39</v>
      </c>
      <c r="F535" s="114">
        <f>ROUND(0.04*409.08,0)*3.53*3</f>
        <v>169.44</v>
      </c>
      <c r="G535" s="114">
        <f>ROUND(0.04*366.33,0)*3.53*3</f>
        <v>158.85</v>
      </c>
      <c r="H535" s="114">
        <f>ROUND(0.04*254.17,0)*3.53*3</f>
        <v>105.89999999999999</v>
      </c>
      <c r="I535" s="114">
        <f>ROUND(0.04*168.83,0)*3.53*3</f>
        <v>74.13</v>
      </c>
      <c r="J535" s="114">
        <f>ROUND(0.04*102.5,0)*3.53*3</f>
        <v>42.36</v>
      </c>
      <c r="K535" s="114">
        <f>ROUND(0.04*143.25,0)*3.84*3</f>
        <v>69.12</v>
      </c>
      <c r="L535" s="114">
        <f>(0.04*235.08)*3.84*3</f>
        <v>108.324864</v>
      </c>
      <c r="M535" s="114">
        <f>(0.04*314.166)*3.84*3</f>
        <v>144.7676928</v>
      </c>
      <c r="N535" s="261">
        <f>(0.04*430.833)*3.84*3</f>
        <v>198.52784640000004</v>
      </c>
      <c r="O535" s="261"/>
      <c r="P535" s="261"/>
      <c r="Q535" s="115">
        <f t="shared" si="37"/>
        <v>1293.8104032</v>
      </c>
      <c r="R535" s="162" t="s">
        <v>1385</v>
      </c>
      <c r="S535" s="270"/>
      <c r="U535" s="253"/>
    </row>
    <row r="536" spans="1:21" ht="12.75">
      <c r="A536" s="116">
        <f t="shared" si="38"/>
        <v>530</v>
      </c>
      <c r="B536" s="111" t="s">
        <v>1196</v>
      </c>
      <c r="C536" s="9">
        <v>22184</v>
      </c>
      <c r="D536" s="122">
        <v>4</v>
      </c>
      <c r="E536" s="113">
        <f>ROUND(0.04*521.42,0)*3.53*4</f>
        <v>296.52</v>
      </c>
      <c r="F536" s="114">
        <f>ROUND(0.04*409.08,0)*3.53*4</f>
        <v>225.92</v>
      </c>
      <c r="G536" s="114">
        <f>ROUND(0.04*366.33,0)*3.53*4</f>
        <v>211.79999999999998</v>
      </c>
      <c r="H536" s="114">
        <f>ROUND(0.04*254.17,0)*3.53*4</f>
        <v>141.2</v>
      </c>
      <c r="I536" s="114">
        <f>ROUND(0.04*168.83,0)*3.53*4</f>
        <v>98.83999999999999</v>
      </c>
      <c r="J536" s="114">
        <f>ROUND(0.04*102.5,0)*3.53*4</f>
        <v>56.48</v>
      </c>
      <c r="K536" s="114">
        <f>ROUND(0.04*143.25,0)*3.84*4</f>
        <v>92.16</v>
      </c>
      <c r="L536" s="114">
        <f>(0.04*235.08)*3.84*4</f>
        <v>144.433152</v>
      </c>
      <c r="M536" s="114">
        <f>(0.04*314.166)*3.84*4</f>
        <v>193.0235904</v>
      </c>
      <c r="N536" s="261">
        <f>(0.04*430.833)*3.84*4</f>
        <v>264.70379520000006</v>
      </c>
      <c r="O536" s="261"/>
      <c r="P536" s="261"/>
      <c r="Q536" s="115">
        <f t="shared" si="37"/>
        <v>1725.0805375999998</v>
      </c>
      <c r="R536" s="303" t="s">
        <v>1392</v>
      </c>
      <c r="S536" s="270"/>
      <c r="U536" s="253"/>
    </row>
    <row r="537" spans="1:21" ht="12.75">
      <c r="A537" s="116">
        <f t="shared" si="38"/>
        <v>531</v>
      </c>
      <c r="B537" s="111" t="s">
        <v>1197</v>
      </c>
      <c r="C537" s="9">
        <v>22177</v>
      </c>
      <c r="D537" s="122">
        <v>4</v>
      </c>
      <c r="E537" s="113">
        <f>ROUND(0.04*521.42,0)*3.53*4</f>
        <v>296.52</v>
      </c>
      <c r="F537" s="114">
        <f>ROUND(0.04*409.08,0)*3.53*4</f>
        <v>225.92</v>
      </c>
      <c r="G537" s="114">
        <f>ROUND(0.04*366.33,0)*3.53*4</f>
        <v>211.79999999999998</v>
      </c>
      <c r="H537" s="114">
        <f>ROUND(0.04*254.17,0)*3.53*4</f>
        <v>141.2</v>
      </c>
      <c r="I537" s="114">
        <f>ROUND(0.04*168.83,0)*3.53*4</f>
        <v>98.83999999999999</v>
      </c>
      <c r="J537" s="114">
        <f>ROUND(0.04*102.5,0)*3.53*4</f>
        <v>56.48</v>
      </c>
      <c r="K537" s="114">
        <f>ROUND(0.04*143.25,0)*3.84*4</f>
        <v>92.16</v>
      </c>
      <c r="L537" s="114">
        <f>(0.04*235.08)*3.84*4</f>
        <v>144.433152</v>
      </c>
      <c r="M537" s="114">
        <f>(0.04*314.166)*3.84*4</f>
        <v>193.0235904</v>
      </c>
      <c r="N537" s="261">
        <f>(0.04*430.833)*3.84*4</f>
        <v>264.70379520000006</v>
      </c>
      <c r="O537" s="261"/>
      <c r="P537" s="261"/>
      <c r="Q537" s="115">
        <f t="shared" si="37"/>
        <v>1725.0805375999998</v>
      </c>
      <c r="R537" s="303" t="s">
        <v>1393</v>
      </c>
      <c r="S537" s="270"/>
      <c r="U537" s="253"/>
    </row>
    <row r="538" spans="1:21" ht="12.75">
      <c r="A538" s="116">
        <f t="shared" si="38"/>
        <v>532</v>
      </c>
      <c r="B538" s="111" t="s">
        <v>705</v>
      </c>
      <c r="C538" s="77">
        <v>22178</v>
      </c>
      <c r="D538" s="122" t="s">
        <v>717</v>
      </c>
      <c r="E538" s="115">
        <v>0</v>
      </c>
      <c r="F538" s="115">
        <v>0</v>
      </c>
      <c r="G538" s="115">
        <v>0</v>
      </c>
      <c r="H538" s="115">
        <v>0</v>
      </c>
      <c r="I538" s="115">
        <v>0</v>
      </c>
      <c r="J538" s="115"/>
      <c r="K538" s="115"/>
      <c r="L538" s="115"/>
      <c r="M538" s="115"/>
      <c r="N538" s="119"/>
      <c r="O538" s="119"/>
      <c r="P538" s="119"/>
      <c r="Q538" s="115">
        <f t="shared" si="37"/>
        <v>0</v>
      </c>
      <c r="R538" s="162" t="s">
        <v>716</v>
      </c>
      <c r="S538" s="270"/>
      <c r="U538" s="253"/>
    </row>
    <row r="539" spans="1:21" ht="12.75">
      <c r="A539" s="116">
        <f t="shared" si="38"/>
        <v>533</v>
      </c>
      <c r="B539" s="111" t="s">
        <v>1198</v>
      </c>
      <c r="C539" s="9">
        <v>22186</v>
      </c>
      <c r="D539" s="122">
        <v>3</v>
      </c>
      <c r="E539" s="113">
        <f>ROUND(0.04*521.42,0)*3.53*3</f>
        <v>222.39</v>
      </c>
      <c r="F539" s="114">
        <f>ROUND(0.04*409.08,0)*3.53*3</f>
        <v>169.44</v>
      </c>
      <c r="G539" s="114">
        <f>ROUND(0.04*366.33,0)*3.53*3</f>
        <v>158.85</v>
      </c>
      <c r="H539" s="114">
        <f>ROUND(0.04*254.17,0)*3.53*3</f>
        <v>105.89999999999999</v>
      </c>
      <c r="I539" s="114">
        <f>ROUND(0.04*168.83,0)*3.53*3</f>
        <v>74.13</v>
      </c>
      <c r="J539" s="114">
        <f>ROUND(0.04*102.5,0)*3.53*3</f>
        <v>42.36</v>
      </c>
      <c r="K539" s="114">
        <f>ROUND(0.04*143.25,0)*3.84*3</f>
        <v>69.12</v>
      </c>
      <c r="L539" s="114">
        <f>(0.04*235.08)*3.84*3</f>
        <v>108.324864</v>
      </c>
      <c r="M539" s="114">
        <f>(0.04*314.166)*3.84*3</f>
        <v>144.7676928</v>
      </c>
      <c r="N539" s="261">
        <f>(0.04*430.833)*3.84*3</f>
        <v>198.52784640000004</v>
      </c>
      <c r="O539" s="261"/>
      <c r="P539" s="261"/>
      <c r="Q539" s="115">
        <f t="shared" si="37"/>
        <v>1293.8104032</v>
      </c>
      <c r="R539" s="303" t="s">
        <v>1394</v>
      </c>
      <c r="S539" s="270"/>
      <c r="U539" s="253"/>
    </row>
    <row r="540" spans="1:21" ht="12.75">
      <c r="A540" s="116">
        <f t="shared" si="38"/>
        <v>534</v>
      </c>
      <c r="B540" s="111" t="s">
        <v>1199</v>
      </c>
      <c r="C540" s="9">
        <v>22187</v>
      </c>
      <c r="D540" s="122">
        <v>4</v>
      </c>
      <c r="E540" s="113">
        <f>ROUND(0.04*521.42,0)*3.53*4</f>
        <v>296.52</v>
      </c>
      <c r="F540" s="114">
        <f>ROUND(0.04*409.08,0)*3.53*4</f>
        <v>225.92</v>
      </c>
      <c r="G540" s="114">
        <f>ROUND(0.04*366.33,0)*3.53*4</f>
        <v>211.79999999999998</v>
      </c>
      <c r="H540" s="114">
        <f>ROUND(0.04*254.17,0)*3.53*4</f>
        <v>141.2</v>
      </c>
      <c r="I540" s="114">
        <f>ROUND(0.04*168.83,0)*3.53*4</f>
        <v>98.83999999999999</v>
      </c>
      <c r="J540" s="114">
        <f>ROUND(0.04*102.5,0)*3.53*4</f>
        <v>56.48</v>
      </c>
      <c r="K540" s="114">
        <f>ROUND(0.04*143.25,0)*3.84*4</f>
        <v>92.16</v>
      </c>
      <c r="L540" s="114">
        <f>(0.04*235.08)*3.84*4</f>
        <v>144.433152</v>
      </c>
      <c r="M540" s="114">
        <f>(0.04*314.166)*3.84*4</f>
        <v>193.0235904</v>
      </c>
      <c r="N540" s="261">
        <f>(0.04*430.833)*3.84*4</f>
        <v>264.70379520000006</v>
      </c>
      <c r="O540" s="261"/>
      <c r="P540" s="261"/>
      <c r="Q540" s="115">
        <f t="shared" si="37"/>
        <v>1725.0805375999998</v>
      </c>
      <c r="R540" s="303" t="s">
        <v>1395</v>
      </c>
      <c r="S540" s="270"/>
      <c r="U540" s="253"/>
    </row>
    <row r="541" spans="1:21" ht="12.75">
      <c r="A541" s="116">
        <f t="shared" si="38"/>
        <v>535</v>
      </c>
      <c r="B541" s="111" t="s">
        <v>1200</v>
      </c>
      <c r="C541" s="9">
        <v>22179</v>
      </c>
      <c r="D541" s="122">
        <v>3</v>
      </c>
      <c r="E541" s="113">
        <f>ROUND(0.04*521.42,0)*3.53*3</f>
        <v>222.39</v>
      </c>
      <c r="F541" s="114">
        <f>ROUND(0.04*409.08,0)*3.53*3</f>
        <v>169.44</v>
      </c>
      <c r="G541" s="114">
        <f>ROUND(0.04*366.33,0)*3.53*3</f>
        <v>158.85</v>
      </c>
      <c r="H541" s="114">
        <f>ROUND(0.04*254.17,0)*3.53*3</f>
        <v>105.89999999999999</v>
      </c>
      <c r="I541" s="114">
        <f>ROUND(0.04*168.83,0)*3.53*3</f>
        <v>74.13</v>
      </c>
      <c r="J541" s="114"/>
      <c r="K541" s="114"/>
      <c r="L541" s="114"/>
      <c r="M541" s="114"/>
      <c r="N541" s="261">
        <f>(0.04*430.833)*3.84*3</f>
        <v>198.52784640000004</v>
      </c>
      <c r="O541" s="261"/>
      <c r="P541" s="261"/>
      <c r="Q541" s="115">
        <f t="shared" si="37"/>
        <v>929.2378464</v>
      </c>
      <c r="R541" s="162" t="s">
        <v>1386</v>
      </c>
      <c r="S541" s="270"/>
      <c r="U541" s="253"/>
    </row>
    <row r="542" spans="1:21" ht="12.75">
      <c r="A542" s="116">
        <f t="shared" si="38"/>
        <v>536</v>
      </c>
      <c r="B542" s="111" t="s">
        <v>1201</v>
      </c>
      <c r="C542" s="9">
        <v>22180</v>
      </c>
      <c r="D542" s="122">
        <v>3</v>
      </c>
      <c r="E542" s="113">
        <f>ROUND(0.04*521.42,0)*3.53*3</f>
        <v>222.39</v>
      </c>
      <c r="F542" s="114">
        <f>ROUND(0.04*409.08,0)*3.53*3</f>
        <v>169.44</v>
      </c>
      <c r="G542" s="114">
        <f>ROUND(0.04*366.33,0)*3.53*3</f>
        <v>158.85</v>
      </c>
      <c r="H542" s="114">
        <f>ROUND(0.04*254.17,0)*3.53*3</f>
        <v>105.89999999999999</v>
      </c>
      <c r="I542" s="114">
        <f>ROUND(0.04*168.83,0)*3.53*3</f>
        <v>74.13</v>
      </c>
      <c r="J542" s="114">
        <f>ROUND(0.04*102.5,0)*3.53*3</f>
        <v>42.36</v>
      </c>
      <c r="K542" s="114">
        <f>ROUND(0.04*143.25,0)*3.84*3</f>
        <v>69.12</v>
      </c>
      <c r="L542" s="114">
        <f>(0.04*235.08)*3.84*3</f>
        <v>108.324864</v>
      </c>
      <c r="M542" s="114">
        <f>(0.04*314.166)*3.84*3</f>
        <v>144.7676928</v>
      </c>
      <c r="N542" s="261">
        <f>(0.04*430.833)*3.84*3</f>
        <v>198.52784640000004</v>
      </c>
      <c r="O542" s="261"/>
      <c r="P542" s="261"/>
      <c r="Q542" s="115">
        <f t="shared" si="37"/>
        <v>1293.8104032</v>
      </c>
      <c r="R542" s="162" t="s">
        <v>1387</v>
      </c>
      <c r="S542" s="270"/>
      <c r="U542" s="253"/>
    </row>
    <row r="543" spans="1:21" ht="12.75">
      <c r="A543" s="116">
        <f t="shared" si="38"/>
        <v>537</v>
      </c>
      <c r="B543" s="111" t="s">
        <v>1202</v>
      </c>
      <c r="C543" s="9">
        <v>22181</v>
      </c>
      <c r="D543" s="122">
        <v>3</v>
      </c>
      <c r="E543" s="113">
        <f>ROUND(0.04*521.42,0)*3.53*3</f>
        <v>222.39</v>
      </c>
      <c r="F543" s="114">
        <f>ROUND(0.04*409.08,0)*3.53*3</f>
        <v>169.44</v>
      </c>
      <c r="G543" s="114">
        <f>ROUND(0.04*366.33,0)*3.53*3</f>
        <v>158.85</v>
      </c>
      <c r="H543" s="114">
        <f>ROUND(0.04*254.17,0)*3.53*3</f>
        <v>105.89999999999999</v>
      </c>
      <c r="I543" s="114">
        <f>ROUND(0.04*168.83,0)*3.53*3</f>
        <v>74.13</v>
      </c>
      <c r="J543" s="114">
        <f>ROUND(0.04*102.5,0)*3.53*3</f>
        <v>42.36</v>
      </c>
      <c r="K543" s="114">
        <f>ROUND(0.04*143.25,0)*3.84*3</f>
        <v>69.12</v>
      </c>
      <c r="L543" s="114">
        <f>(0.04*235.08)*3.84*3</f>
        <v>108.324864</v>
      </c>
      <c r="M543" s="114">
        <f>(0.04*314.166)*3.84*3</f>
        <v>144.7676928</v>
      </c>
      <c r="N543" s="261">
        <f>(0.04*430.833)*3.84*3</f>
        <v>198.52784640000004</v>
      </c>
      <c r="O543" s="261"/>
      <c r="P543" s="261"/>
      <c r="Q543" s="115">
        <f t="shared" si="37"/>
        <v>1293.8104032</v>
      </c>
      <c r="R543" s="162" t="s">
        <v>1388</v>
      </c>
      <c r="S543" s="270"/>
      <c r="U543" s="253"/>
    </row>
    <row r="544" spans="1:21" ht="12.75">
      <c r="A544" s="116">
        <f t="shared" si="38"/>
        <v>538</v>
      </c>
      <c r="B544" s="111" t="s">
        <v>1203</v>
      </c>
      <c r="C544" s="9">
        <v>22182</v>
      </c>
      <c r="D544" s="122">
        <v>3</v>
      </c>
      <c r="E544" s="113">
        <f>ROUND(0.04*521.42,0)*3.53*3</f>
        <v>222.39</v>
      </c>
      <c r="F544" s="114">
        <f>ROUND(0.04*409.08,0)*3.53*3</f>
        <v>169.44</v>
      </c>
      <c r="G544" s="114">
        <f>ROUND(0.04*366.33,0)*3.53*3</f>
        <v>158.85</v>
      </c>
      <c r="H544" s="114">
        <f>ROUND(0.04*254.17,0)*3.53*3</f>
        <v>105.89999999999999</v>
      </c>
      <c r="I544" s="114">
        <f>ROUND(0.04*168.83,0)*3.53*3</f>
        <v>74.13</v>
      </c>
      <c r="J544" s="114">
        <f>ROUND(0.04*102.5,0)*3.53*3</f>
        <v>42.36</v>
      </c>
      <c r="K544" s="114">
        <f>ROUND(0.04*143.25,0)*3.84*3</f>
        <v>69.12</v>
      </c>
      <c r="L544" s="114">
        <f>(0.04*235.08)*3.84*3</f>
        <v>108.324864</v>
      </c>
      <c r="M544" s="114">
        <f>(0.04*314.166)*3.84*3</f>
        <v>144.7676928</v>
      </c>
      <c r="N544" s="261">
        <f>(0.04*430.833)*3.84*4</f>
        <v>264.70379520000006</v>
      </c>
      <c r="O544" s="261"/>
      <c r="P544" s="261"/>
      <c r="Q544" s="115">
        <f t="shared" si="37"/>
        <v>1359.9863520000001</v>
      </c>
      <c r="R544" s="162" t="s">
        <v>1389</v>
      </c>
      <c r="S544" s="270"/>
      <c r="U544" s="253"/>
    </row>
    <row r="545" spans="1:21" ht="12.75">
      <c r="A545" s="116">
        <f t="shared" si="38"/>
        <v>539</v>
      </c>
      <c r="B545" s="111" t="s">
        <v>1204</v>
      </c>
      <c r="C545" s="9">
        <v>22183</v>
      </c>
      <c r="D545" s="122">
        <v>3</v>
      </c>
      <c r="E545" s="113">
        <f>ROUND(0.04*521.42,0)*3.53*3</f>
        <v>222.39</v>
      </c>
      <c r="F545" s="114">
        <f>ROUND(0.04*409.08,0)*3.53*3</f>
        <v>169.44</v>
      </c>
      <c r="G545" s="114">
        <f>ROUND(0.04*366.33,0)*3.53*3</f>
        <v>158.85</v>
      </c>
      <c r="H545" s="114">
        <f>ROUND(0.04*254.17,0)*3.53*3</f>
        <v>105.89999999999999</v>
      </c>
      <c r="I545" s="114">
        <f>ROUND(0.04*168.83,0)*3.53*3</f>
        <v>74.13</v>
      </c>
      <c r="J545" s="114">
        <f>ROUND(0.04*102.5,0)*3.53*3</f>
        <v>42.36</v>
      </c>
      <c r="K545" s="114">
        <f>ROUND(0.04*143.25,0)*3.84*3</f>
        <v>69.12</v>
      </c>
      <c r="L545" s="114">
        <f>(0.04*235.08)*3.84*3</f>
        <v>108.324864</v>
      </c>
      <c r="M545" s="114">
        <f>(0.04*314.166)*3.84*3</f>
        <v>144.7676928</v>
      </c>
      <c r="N545" s="261">
        <f>(0.04*430.833)*3.84*3</f>
        <v>198.52784640000004</v>
      </c>
      <c r="O545" s="261"/>
      <c r="P545" s="261"/>
      <c r="Q545" s="115">
        <f t="shared" si="37"/>
        <v>1293.8104032</v>
      </c>
      <c r="R545" s="162" t="s">
        <v>1390</v>
      </c>
      <c r="S545" s="270"/>
      <c r="U545" s="253"/>
    </row>
    <row r="546" spans="1:21" ht="12.75">
      <c r="A546" s="116">
        <f t="shared" si="38"/>
        <v>540</v>
      </c>
      <c r="B546" s="111" t="s">
        <v>1205</v>
      </c>
      <c r="C546" s="9">
        <v>22174</v>
      </c>
      <c r="D546" s="122">
        <v>27</v>
      </c>
      <c r="E546" s="113">
        <f>ROUND(0.04*521.42,0)*3.53*27</f>
        <v>2001.5099999999998</v>
      </c>
      <c r="F546" s="114">
        <f>ROUND(0.04*409.08,0)*3.53*27</f>
        <v>1524.9599999999998</v>
      </c>
      <c r="G546" s="114">
        <f>ROUND(0.04*366.33,0)*3.53*27</f>
        <v>1429.6499999999999</v>
      </c>
      <c r="H546" s="114">
        <f>ROUND(0.04*254.17,0)*3.53*27</f>
        <v>953.0999999999999</v>
      </c>
      <c r="I546" s="114">
        <f>ROUND(0.04*168.83,0)*3.53*27</f>
        <v>667.17</v>
      </c>
      <c r="J546" s="232">
        <f>133.5*2.83*3.53</f>
        <v>1333.65165</v>
      </c>
      <c r="K546" s="232">
        <f>133.5*2.83*3.84</f>
        <v>1450.7712</v>
      </c>
      <c r="L546" s="232">
        <f>133.5*2.83*3.84</f>
        <v>1450.7712</v>
      </c>
      <c r="M546" s="183">
        <f>133.5*2.83*3.84</f>
        <v>1450.7712</v>
      </c>
      <c r="N546" s="183">
        <f>133.5*2.83*3.84</f>
        <v>1450.7712</v>
      </c>
      <c r="O546" s="183">
        <f>133.5*2.83*3.84</f>
        <v>1450.7712</v>
      </c>
      <c r="P546" s="183"/>
      <c r="Q546" s="115">
        <f t="shared" si="37"/>
        <v>15163.897649999995</v>
      </c>
      <c r="R546" s="108"/>
      <c r="S546" s="270"/>
      <c r="U546" s="253"/>
    </row>
    <row r="547" spans="1:21" ht="12.75">
      <c r="A547" s="116">
        <f t="shared" si="38"/>
        <v>541</v>
      </c>
      <c r="B547" s="111" t="s">
        <v>1206</v>
      </c>
      <c r="C547" s="9">
        <v>22175</v>
      </c>
      <c r="D547" s="122" t="s">
        <v>593</v>
      </c>
      <c r="E547" s="113">
        <f>ROUND(0.04*521.42,0)*3.53*3</f>
        <v>222.39</v>
      </c>
      <c r="F547" s="114">
        <f>ROUND(0.04*409.08,0)*3.53*3</f>
        <v>169.44</v>
      </c>
      <c r="G547" s="114">
        <f>ROUND(0.04*366.33,0)*3.53*3</f>
        <v>158.85</v>
      </c>
      <c r="H547" s="114">
        <f>ROUND(0.04*254.17,0)*3.53*3</f>
        <v>105.89999999999999</v>
      </c>
      <c r="I547" s="114">
        <f>ROUND(0.04*168.83,0)*3.53*3</f>
        <v>74.13</v>
      </c>
      <c r="J547" s="114">
        <f>ROUND(0.04*102.5,0)*3.53*3</f>
        <v>42.36</v>
      </c>
      <c r="K547" s="114">
        <f>ROUND(0.04*143.25,0)*3.84*3</f>
        <v>69.12</v>
      </c>
      <c r="L547" s="114">
        <f>(0.04*235.08)*3.84*3</f>
        <v>108.324864</v>
      </c>
      <c r="M547" s="114">
        <f>(0.04*314.166)*3.84*3</f>
        <v>144.7676928</v>
      </c>
      <c r="N547" s="261">
        <f>(0.04*430.833)*3.84*3</f>
        <v>198.52784640000004</v>
      </c>
      <c r="O547" s="261"/>
      <c r="P547" s="261"/>
      <c r="Q547" s="115">
        <f t="shared" si="37"/>
        <v>1293.8104032</v>
      </c>
      <c r="R547" s="162" t="s">
        <v>1391</v>
      </c>
      <c r="S547" s="270"/>
      <c r="U547" s="253"/>
    </row>
    <row r="548" spans="1:21" ht="12.75">
      <c r="A548" s="116">
        <f t="shared" si="38"/>
        <v>542</v>
      </c>
      <c r="B548" s="111" t="s">
        <v>1207</v>
      </c>
      <c r="C548" s="9">
        <v>12163</v>
      </c>
      <c r="D548" s="122">
        <v>3</v>
      </c>
      <c r="E548" s="113">
        <f>ROUND(0.04*521.42,0)*3.53*3</f>
        <v>222.39</v>
      </c>
      <c r="F548" s="114">
        <f>ROUND(0.04*409.08,0)*3.53*3</f>
        <v>169.44</v>
      </c>
      <c r="G548" s="114">
        <f>ROUND(0.04*366.33,0)*3.53*3</f>
        <v>158.85</v>
      </c>
      <c r="H548" s="114">
        <f>ROUND(0.04*254.17,0)*3.53*3</f>
        <v>105.89999999999999</v>
      </c>
      <c r="I548" s="114">
        <f>ROUND(0.04*168.83,0)*3.53*3</f>
        <v>74.13</v>
      </c>
      <c r="J548" s="114">
        <f>ROUND(0.04*102.5,0)*3.53*3</f>
        <v>42.36</v>
      </c>
      <c r="K548" s="114">
        <f>ROUND(0.04*143.25,0)*3.84*3</f>
        <v>69.12</v>
      </c>
      <c r="L548" s="114">
        <f>(0.04*235.08)*3.84*3</f>
        <v>108.324864</v>
      </c>
      <c r="M548" s="114">
        <f>(0.04*314.166)*3.84*3</f>
        <v>144.7676928</v>
      </c>
      <c r="N548" s="261">
        <f>(0.04*430.833)*3.84*3</f>
        <v>198.52784640000004</v>
      </c>
      <c r="O548" s="261"/>
      <c r="P548" s="261"/>
      <c r="Q548" s="115">
        <f t="shared" si="37"/>
        <v>1293.8104032</v>
      </c>
      <c r="R548" s="108" t="s">
        <v>1398</v>
      </c>
      <c r="S548" s="270"/>
      <c r="U548" s="253"/>
    </row>
    <row r="549" spans="1:21" ht="12.75">
      <c r="A549" s="116">
        <f t="shared" si="38"/>
        <v>543</v>
      </c>
      <c r="B549" s="111" t="s">
        <v>1208</v>
      </c>
      <c r="C549" s="9">
        <v>21799</v>
      </c>
      <c r="D549" s="122">
        <v>1</v>
      </c>
      <c r="E549" s="113">
        <f>ROUND(0.04*521.42,0)*3.53</f>
        <v>74.13</v>
      </c>
      <c r="F549" s="114">
        <f>ROUND(0.04*409.08,0)*3.53</f>
        <v>56.48</v>
      </c>
      <c r="G549" s="114">
        <f>ROUND(0.04*366.33,0)*3.53</f>
        <v>52.949999999999996</v>
      </c>
      <c r="H549" s="114">
        <f>ROUND(0.04*254.17,0)*3.53</f>
        <v>35.3</v>
      </c>
      <c r="I549" s="114">
        <f>ROUND(0.04*168.83,0)*3.53</f>
        <v>24.709999999999997</v>
      </c>
      <c r="J549" s="114">
        <f>ROUND(0.04*102.5,0)*3.53</f>
        <v>14.12</v>
      </c>
      <c r="K549" s="114">
        <f>ROUND(0.04*143.25,0)*3.84</f>
        <v>23.04</v>
      </c>
      <c r="L549" s="114">
        <f>(0.04*235.08)*3.84</f>
        <v>36.108288</v>
      </c>
      <c r="M549" s="114">
        <f>(0.04*314.166)*3.84</f>
        <v>48.2558976</v>
      </c>
      <c r="N549" s="261">
        <f>(0.04*430.833)*3.84</f>
        <v>66.17594880000001</v>
      </c>
      <c r="O549" s="261"/>
      <c r="P549" s="261"/>
      <c r="Q549" s="115">
        <f t="shared" si="37"/>
        <v>431.27013439999996</v>
      </c>
      <c r="R549" s="108"/>
      <c r="S549" s="270"/>
      <c r="U549" s="253"/>
    </row>
    <row r="550" spans="1:21" ht="12.75">
      <c r="A550" s="116">
        <f t="shared" si="38"/>
        <v>544</v>
      </c>
      <c r="B550" s="111" t="s">
        <v>1209</v>
      </c>
      <c r="C550" s="9">
        <v>21809</v>
      </c>
      <c r="D550" s="128">
        <v>6</v>
      </c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5">
        <f t="shared" si="37"/>
        <v>0</v>
      </c>
      <c r="R550" s="124" t="s">
        <v>1210</v>
      </c>
      <c r="S550" s="270"/>
      <c r="U550" s="253"/>
    </row>
    <row r="551" spans="1:21" ht="12.75">
      <c r="A551" s="116">
        <f t="shared" si="38"/>
        <v>545</v>
      </c>
      <c r="B551" s="111" t="s">
        <v>1211</v>
      </c>
      <c r="C551" s="9">
        <v>22161</v>
      </c>
      <c r="D551" s="122" t="s">
        <v>584</v>
      </c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9"/>
      <c r="P551" s="119"/>
      <c r="Q551" s="115">
        <f t="shared" si="37"/>
        <v>0</v>
      </c>
      <c r="R551" s="108" t="s">
        <v>299</v>
      </c>
      <c r="S551" s="270"/>
      <c r="U551" s="253"/>
    </row>
    <row r="552" spans="1:21" ht="12.75">
      <c r="A552" s="116">
        <f t="shared" si="38"/>
        <v>546</v>
      </c>
      <c r="B552" s="111" t="s">
        <v>1212</v>
      </c>
      <c r="C552" s="9">
        <v>22164</v>
      </c>
      <c r="D552" s="122">
        <v>4</v>
      </c>
      <c r="E552" s="113">
        <f>ROUND(0.04*521.42,0)*3.53*4</f>
        <v>296.52</v>
      </c>
      <c r="F552" s="114">
        <f>ROUND(0.04*409.08,0)*3.53*4</f>
        <v>225.92</v>
      </c>
      <c r="G552" s="114">
        <f>ROUND(0.04*366.33,0)*3.53*4</f>
        <v>211.79999999999998</v>
      </c>
      <c r="H552" s="114">
        <f>ROUND(0.04*254.17,0)*3.53*4</f>
        <v>141.2</v>
      </c>
      <c r="I552" s="114">
        <f>ROUND(0.04*168.83,0)*3.53*4</f>
        <v>98.83999999999999</v>
      </c>
      <c r="J552" s="114">
        <f>ROUND(0.04*102.5,0)*3.53*4</f>
        <v>56.48</v>
      </c>
      <c r="K552" s="114">
        <f>ROUND(0.04*143.25,0)*3.84*4</f>
        <v>92.16</v>
      </c>
      <c r="L552" s="114">
        <f>(0.04*235.08)*3.84*4</f>
        <v>144.433152</v>
      </c>
      <c r="M552" s="114">
        <f>(0.04*314.166)*3.84*4</f>
        <v>193.0235904</v>
      </c>
      <c r="N552" s="119"/>
      <c r="O552" s="119"/>
      <c r="P552" s="119"/>
      <c r="Q552" s="115">
        <f t="shared" si="37"/>
        <v>1460.3767423999998</v>
      </c>
      <c r="R552" s="219" t="s">
        <v>1396</v>
      </c>
      <c r="S552" s="270"/>
      <c r="U552" s="253"/>
    </row>
    <row r="553" spans="1:21" ht="12.75">
      <c r="A553" s="116">
        <f t="shared" si="38"/>
        <v>547</v>
      </c>
      <c r="B553" s="111" t="s">
        <v>1213</v>
      </c>
      <c r="C553" s="9">
        <v>10029</v>
      </c>
      <c r="D553" s="125"/>
      <c r="E553" s="125"/>
      <c r="F553" s="125"/>
      <c r="G553" s="125"/>
      <c r="H553" s="125"/>
      <c r="I553" s="125">
        <v>37453.27</v>
      </c>
      <c r="J553" s="125">
        <v>27622.1</v>
      </c>
      <c r="K553" s="125">
        <f>190146.52+41614.08</f>
        <v>231760.59999999998</v>
      </c>
      <c r="L553" s="125">
        <v>44401.92</v>
      </c>
      <c r="M553" s="125"/>
      <c r="N553" s="125">
        <v>74880</v>
      </c>
      <c r="O553" s="115">
        <v>66816</v>
      </c>
      <c r="P553" s="115">
        <v>61824</v>
      </c>
      <c r="Q553" s="115">
        <f t="shared" si="37"/>
        <v>544757.8899999999</v>
      </c>
      <c r="U553" s="253"/>
    </row>
    <row r="554" spans="1:21" ht="12.75">
      <c r="A554" s="116">
        <f t="shared" si="38"/>
        <v>548</v>
      </c>
      <c r="B554" s="111" t="s">
        <v>1214</v>
      </c>
      <c r="C554" s="9">
        <v>10031</v>
      </c>
      <c r="D554" s="125"/>
      <c r="E554" s="125"/>
      <c r="F554" s="125"/>
      <c r="G554" s="125"/>
      <c r="H554" s="125"/>
      <c r="I554" s="125"/>
      <c r="J554" s="125"/>
      <c r="K554" s="125"/>
      <c r="L554" s="125"/>
      <c r="M554" s="131">
        <f>45.6*2.83*3.84</f>
        <v>495.54431999999997</v>
      </c>
      <c r="N554" s="131">
        <f>45.6*2.83*3.84+15.36</f>
        <v>510.90432</v>
      </c>
      <c r="O554" s="131">
        <f>45.6*2.83*3.84+15.36</f>
        <v>510.90432</v>
      </c>
      <c r="P554" s="131">
        <f>45.6*2.83*3.84</f>
        <v>495.54431999999997</v>
      </c>
      <c r="Q554" s="115">
        <f t="shared" si="37"/>
        <v>2012.89728</v>
      </c>
      <c r="S554" s="271"/>
      <c r="U554" s="253"/>
    </row>
    <row r="555" spans="1:21" ht="12.75">
      <c r="A555" s="116">
        <f t="shared" si="38"/>
        <v>549</v>
      </c>
      <c r="B555" s="111" t="s">
        <v>1215</v>
      </c>
      <c r="C555" s="9">
        <v>10032</v>
      </c>
      <c r="D555" s="125"/>
      <c r="E555" s="125"/>
      <c r="F555" s="125"/>
      <c r="G555" s="125"/>
      <c r="H555" s="125"/>
      <c r="I555" s="125"/>
      <c r="J555" s="125"/>
      <c r="K555" s="125">
        <v>2131.18</v>
      </c>
      <c r="L555" s="125">
        <v>18028.32</v>
      </c>
      <c r="M555" s="131">
        <v>30441.65</v>
      </c>
      <c r="N555" s="114">
        <v>11071.28</v>
      </c>
      <c r="O555" s="114">
        <v>8400.29</v>
      </c>
      <c r="P555" s="114">
        <v>7854.96</v>
      </c>
      <c r="Q555" s="115">
        <f t="shared" si="37"/>
        <v>77927.68000000001</v>
      </c>
      <c r="R555" s="267" t="s">
        <v>301</v>
      </c>
      <c r="S555" s="271"/>
      <c r="U555" s="253"/>
    </row>
    <row r="556" spans="1:21" ht="12.75">
      <c r="A556" s="116">
        <f t="shared" si="38"/>
        <v>550</v>
      </c>
      <c r="B556" s="111" t="s">
        <v>1216</v>
      </c>
      <c r="C556" s="9">
        <v>10033</v>
      </c>
      <c r="D556" s="125"/>
      <c r="E556" s="125"/>
      <c r="F556" s="125"/>
      <c r="G556" s="125"/>
      <c r="H556" s="125"/>
      <c r="I556" s="125"/>
      <c r="J556" s="125"/>
      <c r="K556" s="125"/>
      <c r="L556" s="125"/>
      <c r="M556" s="131">
        <f>36.8*2.83*3.84</f>
        <v>399.91295999999994</v>
      </c>
      <c r="N556" s="131">
        <f>36.8*2.83*3.84</f>
        <v>399.91295999999994</v>
      </c>
      <c r="O556" s="131">
        <f>36.8*2.83*3.84</f>
        <v>399.91295999999994</v>
      </c>
      <c r="P556" s="131">
        <f>36.8*2.83*3.84</f>
        <v>399.91295999999994</v>
      </c>
      <c r="Q556" s="115">
        <f t="shared" si="37"/>
        <v>1599.6518399999998</v>
      </c>
      <c r="S556" s="271"/>
      <c r="U556" s="253"/>
    </row>
    <row r="557" spans="1:21" ht="12.75">
      <c r="A557" s="116">
        <f t="shared" si="38"/>
        <v>551</v>
      </c>
      <c r="B557" s="220" t="s">
        <v>1233</v>
      </c>
      <c r="C557" s="12">
        <v>10034</v>
      </c>
      <c r="D557" s="122"/>
      <c r="E557" s="114"/>
      <c r="F557" s="114"/>
      <c r="G557" s="114"/>
      <c r="H557" s="114"/>
      <c r="I557" s="115"/>
      <c r="J557" s="115"/>
      <c r="K557" s="115"/>
      <c r="L557" s="115"/>
      <c r="M557" s="115"/>
      <c r="N557" s="115">
        <v>14664.8</v>
      </c>
      <c r="O557" s="115">
        <v>14664.8</v>
      </c>
      <c r="P557" s="299"/>
      <c r="Q557" s="115">
        <f t="shared" si="37"/>
        <v>29329.6</v>
      </c>
      <c r="R557" s="292" t="s">
        <v>412</v>
      </c>
      <c r="S557" s="270"/>
      <c r="U557" s="253"/>
    </row>
    <row r="558" spans="1:21" ht="12.75">
      <c r="A558" s="116">
        <f t="shared" si="38"/>
        <v>552</v>
      </c>
      <c r="B558" s="9" t="s">
        <v>351</v>
      </c>
      <c r="C558" s="9">
        <v>21402</v>
      </c>
      <c r="D558" s="122"/>
      <c r="E558" s="114"/>
      <c r="F558" s="114"/>
      <c r="G558" s="114"/>
      <c r="H558" s="114"/>
      <c r="I558" s="115"/>
      <c r="J558" s="115"/>
      <c r="K558" s="115"/>
      <c r="L558" s="115"/>
      <c r="M558" s="115"/>
      <c r="N558" s="115"/>
      <c r="O558" s="115"/>
      <c r="P558" s="115"/>
      <c r="Q558" s="115">
        <f t="shared" si="37"/>
        <v>0</v>
      </c>
      <c r="S558" s="271"/>
      <c r="U558" s="253"/>
    </row>
    <row r="559" spans="1:21" ht="12.75">
      <c r="A559" s="116">
        <f t="shared" si="38"/>
        <v>553</v>
      </c>
      <c r="B559" s="9" t="s">
        <v>1234</v>
      </c>
      <c r="C559" s="246">
        <v>10035</v>
      </c>
      <c r="D559" s="122"/>
      <c r="E559" s="114"/>
      <c r="F559" s="114"/>
      <c r="G559" s="114"/>
      <c r="H559" s="114"/>
      <c r="I559" s="115"/>
      <c r="J559" s="115"/>
      <c r="K559" s="115"/>
      <c r="L559" s="115"/>
      <c r="M559" s="115">
        <v>7595.52</v>
      </c>
      <c r="N559" s="115">
        <v>1877.72</v>
      </c>
      <c r="O559" s="115">
        <v>2240.89</v>
      </c>
      <c r="P559" s="115">
        <v>2923.76</v>
      </c>
      <c r="Q559" s="115">
        <f t="shared" si="37"/>
        <v>14637.89</v>
      </c>
      <c r="S559" s="271"/>
      <c r="U559" s="253"/>
    </row>
    <row r="560" spans="1:21" ht="12.75">
      <c r="A560" s="116">
        <f t="shared" si="38"/>
        <v>554</v>
      </c>
      <c r="B560" s="9" t="s">
        <v>1235</v>
      </c>
      <c r="C560" s="9">
        <v>10036</v>
      </c>
      <c r="D560" s="122"/>
      <c r="E560" s="114"/>
      <c r="F560" s="114"/>
      <c r="G560" s="114"/>
      <c r="H560" s="114"/>
      <c r="I560" s="115"/>
      <c r="J560" s="115"/>
      <c r="K560" s="115"/>
      <c r="L560" s="115"/>
      <c r="M560" s="115"/>
      <c r="N560" s="119"/>
      <c r="O560" s="119"/>
      <c r="P560" s="119"/>
      <c r="Q560" s="115">
        <f t="shared" si="37"/>
        <v>0</v>
      </c>
      <c r="R560" s="258" t="s">
        <v>300</v>
      </c>
      <c r="S560" s="271"/>
      <c r="U560" s="253"/>
    </row>
    <row r="561" spans="1:21" ht="12.75">
      <c r="A561" s="116">
        <f t="shared" si="38"/>
        <v>555</v>
      </c>
      <c r="B561" s="9" t="s">
        <v>1236</v>
      </c>
      <c r="C561" s="9">
        <v>10037</v>
      </c>
      <c r="D561" s="125"/>
      <c r="E561" s="247"/>
      <c r="F561" s="247"/>
      <c r="G561" s="114"/>
      <c r="H561" s="114"/>
      <c r="I561" s="115"/>
      <c r="J561" s="115"/>
      <c r="K561" s="115"/>
      <c r="L561" s="115"/>
      <c r="M561" s="131">
        <f>47.6*2.83*3.84</f>
        <v>517.27872</v>
      </c>
      <c r="N561" s="131">
        <f>47.6*2.83*3.84</f>
        <v>517.27872</v>
      </c>
      <c r="O561" s="131">
        <f>47.6*2.83*3.84</f>
        <v>517.27872</v>
      </c>
      <c r="P561" s="131">
        <f>47.6*2.83*3.84</f>
        <v>517.27872</v>
      </c>
      <c r="Q561" s="115">
        <f aca="true" t="shared" si="41" ref="Q561:Q624">E561+F561+G561+H561+I561+J561+K561+L561+M561+N561+O561+P561</f>
        <v>2069.11488</v>
      </c>
      <c r="S561" s="271"/>
      <c r="U561" s="253"/>
    </row>
    <row r="562" spans="1:21" ht="12.75">
      <c r="A562" s="116">
        <f t="shared" si="38"/>
        <v>556</v>
      </c>
      <c r="B562" s="9" t="s">
        <v>1237</v>
      </c>
      <c r="C562" s="12">
        <v>10038</v>
      </c>
      <c r="D562" s="125"/>
      <c r="E562" s="125"/>
      <c r="F562" s="125"/>
      <c r="G562" s="115"/>
      <c r="H562" s="115"/>
      <c r="I562" s="115"/>
      <c r="J562" s="115"/>
      <c r="K562" s="115"/>
      <c r="L562" s="115"/>
      <c r="M562" s="115"/>
      <c r="N562" s="119"/>
      <c r="O562" s="119"/>
      <c r="P562" s="119"/>
      <c r="Q562" s="115">
        <f t="shared" si="41"/>
        <v>0</v>
      </c>
      <c r="R562" s="258" t="s">
        <v>300</v>
      </c>
      <c r="S562" s="271"/>
      <c r="U562" s="253"/>
    </row>
    <row r="563" spans="1:21" ht="12.75">
      <c r="A563" s="116">
        <f t="shared" si="38"/>
        <v>557</v>
      </c>
      <c r="B563" s="9" t="s">
        <v>1238</v>
      </c>
      <c r="C563" s="9">
        <v>10039</v>
      </c>
      <c r="D563" s="125"/>
      <c r="E563" s="125"/>
      <c r="F563" s="125"/>
      <c r="G563" s="115"/>
      <c r="H563" s="115"/>
      <c r="I563" s="115"/>
      <c r="J563" s="115"/>
      <c r="K563" s="115"/>
      <c r="L563" s="115"/>
      <c r="M563" s="115"/>
      <c r="N563" s="119"/>
      <c r="O563" s="119"/>
      <c r="P563" s="119"/>
      <c r="Q563" s="115">
        <f t="shared" si="41"/>
        <v>0</v>
      </c>
      <c r="R563" s="258" t="s">
        <v>300</v>
      </c>
      <c r="S563" s="271"/>
      <c r="U563" s="253"/>
    </row>
    <row r="564" spans="1:21" ht="12.75">
      <c r="A564" s="116">
        <f t="shared" si="38"/>
        <v>558</v>
      </c>
      <c r="B564" s="9" t="s">
        <v>1239</v>
      </c>
      <c r="C564" s="9">
        <v>10040</v>
      </c>
      <c r="D564" s="184"/>
      <c r="E564" s="115"/>
      <c r="F564" s="115"/>
      <c r="G564" s="115"/>
      <c r="H564" s="115"/>
      <c r="I564" s="115"/>
      <c r="J564" s="115"/>
      <c r="K564" s="115"/>
      <c r="L564" s="115"/>
      <c r="M564" s="115"/>
      <c r="N564" s="119"/>
      <c r="O564" s="119"/>
      <c r="P564" s="119"/>
      <c r="Q564" s="115">
        <f t="shared" si="41"/>
        <v>0</v>
      </c>
      <c r="R564" s="258" t="s">
        <v>300</v>
      </c>
      <c r="S564" s="271"/>
      <c r="U564" s="253"/>
    </row>
    <row r="565" spans="1:21" ht="12.75">
      <c r="A565" s="116">
        <f t="shared" si="38"/>
        <v>559</v>
      </c>
      <c r="B565" s="9" t="s">
        <v>1240</v>
      </c>
      <c r="C565" s="9">
        <v>10041</v>
      </c>
      <c r="D565" s="122"/>
      <c r="E565" s="115"/>
      <c r="F565" s="115"/>
      <c r="G565" s="115"/>
      <c r="H565" s="115"/>
      <c r="I565" s="115"/>
      <c r="J565" s="115"/>
      <c r="K565" s="115"/>
      <c r="L565" s="115"/>
      <c r="M565" s="115"/>
      <c r="N565" s="119"/>
      <c r="O565" s="119"/>
      <c r="P565" s="119"/>
      <c r="Q565" s="115">
        <f t="shared" si="41"/>
        <v>0</v>
      </c>
      <c r="R565" s="258" t="s">
        <v>300</v>
      </c>
      <c r="S565" s="271"/>
      <c r="U565" s="253"/>
    </row>
    <row r="566" spans="1:21" ht="12.75">
      <c r="A566" s="116">
        <f t="shared" si="38"/>
        <v>560</v>
      </c>
      <c r="B566" s="9" t="s">
        <v>1241</v>
      </c>
      <c r="C566" s="9">
        <v>10042</v>
      </c>
      <c r="D566" s="122"/>
      <c r="E566" s="115"/>
      <c r="F566" s="115"/>
      <c r="G566" s="115"/>
      <c r="H566" s="115"/>
      <c r="I566" s="115"/>
      <c r="J566" s="115"/>
      <c r="K566" s="115"/>
      <c r="L566" s="115"/>
      <c r="M566" s="115"/>
      <c r="N566" s="119"/>
      <c r="O566" s="119"/>
      <c r="P566" s="119"/>
      <c r="Q566" s="115">
        <f t="shared" si="41"/>
        <v>0</v>
      </c>
      <c r="R566" s="258" t="s">
        <v>300</v>
      </c>
      <c r="S566" s="271"/>
      <c r="U566" s="253"/>
    </row>
    <row r="567" spans="1:21" ht="12.75">
      <c r="A567" s="116">
        <f t="shared" si="38"/>
        <v>561</v>
      </c>
      <c r="B567" s="9" t="s">
        <v>1242</v>
      </c>
      <c r="C567" s="9">
        <v>10043</v>
      </c>
      <c r="D567" s="122"/>
      <c r="E567" s="115"/>
      <c r="F567" s="115"/>
      <c r="G567" s="115"/>
      <c r="H567" s="115"/>
      <c r="I567" s="115"/>
      <c r="J567" s="115"/>
      <c r="K567" s="115"/>
      <c r="L567" s="115"/>
      <c r="M567" s="131">
        <f>15.3*2.83*3.84</f>
        <v>166.26816000000002</v>
      </c>
      <c r="N567" s="131">
        <f>15.3*2.83*3.84</f>
        <v>166.26816000000002</v>
      </c>
      <c r="O567" s="131">
        <f>15.3*2.83*3.84</f>
        <v>166.26816000000002</v>
      </c>
      <c r="P567" s="131">
        <f>15.3*2.83*3.84</f>
        <v>166.26816000000002</v>
      </c>
      <c r="Q567" s="115">
        <f t="shared" si="41"/>
        <v>665.0726400000001</v>
      </c>
      <c r="S567" s="271"/>
      <c r="U567" s="253"/>
    </row>
    <row r="568" spans="1:21" ht="12.75">
      <c r="A568" s="116">
        <f t="shared" si="38"/>
        <v>562</v>
      </c>
      <c r="B568" s="9" t="s">
        <v>1243</v>
      </c>
      <c r="C568" s="9">
        <v>10044</v>
      </c>
      <c r="D568" s="122"/>
      <c r="E568" s="115"/>
      <c r="F568" s="115"/>
      <c r="G568" s="115"/>
      <c r="H568" s="115"/>
      <c r="I568" s="115"/>
      <c r="J568" s="115"/>
      <c r="K568" s="115"/>
      <c r="L568" s="115"/>
      <c r="M568" s="131">
        <f>39.4*2.83*3.84</f>
        <v>428.16767999999996</v>
      </c>
      <c r="N568" s="131">
        <f>39.4*2.83*3.84</f>
        <v>428.16767999999996</v>
      </c>
      <c r="O568" s="131">
        <f>39.4*2.83*3.84</f>
        <v>428.16767999999996</v>
      </c>
      <c r="P568" s="131">
        <f>39.4*2.83*3.84</f>
        <v>428.16767999999996</v>
      </c>
      <c r="Q568" s="115">
        <f t="shared" si="41"/>
        <v>1712.6707199999998</v>
      </c>
      <c r="S568" s="271"/>
      <c r="U568" s="253"/>
    </row>
    <row r="569" spans="1:21" ht="12.75">
      <c r="A569" s="116">
        <f t="shared" si="38"/>
        <v>563</v>
      </c>
      <c r="B569" s="9" t="s">
        <v>1244</v>
      </c>
      <c r="C569" s="12">
        <v>10045</v>
      </c>
      <c r="D569" s="122"/>
      <c r="E569" s="115"/>
      <c r="F569" s="115"/>
      <c r="G569" s="115"/>
      <c r="H569" s="115"/>
      <c r="I569" s="115"/>
      <c r="J569" s="115"/>
      <c r="K569" s="115"/>
      <c r="L569" s="115"/>
      <c r="M569" s="131">
        <f>39.8*2.83*3.84</f>
        <v>432.51455999999996</v>
      </c>
      <c r="N569" s="131">
        <f>39.8*2.83*3.84</f>
        <v>432.51455999999996</v>
      </c>
      <c r="O569" s="131">
        <f>39.8*2.83*3.84</f>
        <v>432.51455999999996</v>
      </c>
      <c r="P569" s="131">
        <f>39.8*2.83*3.84</f>
        <v>432.51455999999996</v>
      </c>
      <c r="Q569" s="115">
        <f t="shared" si="41"/>
        <v>1730.0582399999998</v>
      </c>
      <c r="S569" s="271"/>
      <c r="U569" s="253"/>
    </row>
    <row r="570" spans="1:21" ht="12.75">
      <c r="A570" s="116">
        <f t="shared" si="38"/>
        <v>564</v>
      </c>
      <c r="B570" s="9" t="s">
        <v>1245</v>
      </c>
      <c r="C570" s="9">
        <v>10046</v>
      </c>
      <c r="D570" s="122"/>
      <c r="E570" s="115"/>
      <c r="F570" s="115"/>
      <c r="G570" s="115"/>
      <c r="H570" s="115"/>
      <c r="I570" s="115"/>
      <c r="J570" s="115"/>
      <c r="K570" s="115"/>
      <c r="L570" s="115"/>
      <c r="M570" s="115"/>
      <c r="N570" s="119"/>
      <c r="O570" s="119"/>
      <c r="P570" s="119"/>
      <c r="Q570" s="115">
        <f t="shared" si="41"/>
        <v>0</v>
      </c>
      <c r="R570" s="258" t="s">
        <v>300</v>
      </c>
      <c r="U570" s="253"/>
    </row>
    <row r="571" spans="1:21" ht="12.75">
      <c r="A571" s="116">
        <f t="shared" si="38"/>
        <v>565</v>
      </c>
      <c r="B571" s="9" t="s">
        <v>1246</v>
      </c>
      <c r="C571" s="9">
        <v>10047</v>
      </c>
      <c r="D571" s="122"/>
      <c r="E571" s="115"/>
      <c r="F571" s="115"/>
      <c r="G571" s="115"/>
      <c r="H571" s="115"/>
      <c r="I571" s="115"/>
      <c r="J571" s="115"/>
      <c r="K571" s="115"/>
      <c r="L571" s="115"/>
      <c r="M571" s="115"/>
      <c r="N571" s="119"/>
      <c r="O571" s="119"/>
      <c r="P571" s="119"/>
      <c r="Q571" s="115">
        <f t="shared" si="41"/>
        <v>0</v>
      </c>
      <c r="R571" s="258" t="s">
        <v>300</v>
      </c>
      <c r="U571" s="253"/>
    </row>
    <row r="572" spans="1:21" ht="12.75">
      <c r="A572" s="116">
        <f t="shared" si="38"/>
        <v>566</v>
      </c>
      <c r="B572" s="9" t="s">
        <v>1247</v>
      </c>
      <c r="C572" s="9">
        <v>10048</v>
      </c>
      <c r="D572" s="122"/>
      <c r="E572" s="115"/>
      <c r="F572" s="115"/>
      <c r="G572" s="115"/>
      <c r="H572" s="115"/>
      <c r="I572" s="115"/>
      <c r="J572" s="115"/>
      <c r="K572" s="115"/>
      <c r="L572" s="115"/>
      <c r="M572" s="115"/>
      <c r="N572" s="119"/>
      <c r="O572" s="119"/>
      <c r="P572" s="119"/>
      <c r="Q572" s="115">
        <f t="shared" si="41"/>
        <v>0</v>
      </c>
      <c r="R572" s="258" t="s">
        <v>300</v>
      </c>
      <c r="U572" s="253"/>
    </row>
    <row r="573" spans="1:21" ht="12.75">
      <c r="A573" s="116">
        <f t="shared" si="38"/>
        <v>567</v>
      </c>
      <c r="B573" s="9" t="s">
        <v>1248</v>
      </c>
      <c r="C573" s="12">
        <v>10049</v>
      </c>
      <c r="D573" s="122"/>
      <c r="E573" s="115"/>
      <c r="F573" s="115"/>
      <c r="G573" s="115"/>
      <c r="H573" s="115"/>
      <c r="I573" s="115"/>
      <c r="J573" s="115"/>
      <c r="K573" s="115"/>
      <c r="L573" s="115"/>
      <c r="M573" s="115"/>
      <c r="N573" s="119"/>
      <c r="O573" s="119"/>
      <c r="P573" s="119"/>
      <c r="Q573" s="115">
        <f t="shared" si="41"/>
        <v>0</v>
      </c>
      <c r="R573" s="258" t="s">
        <v>300</v>
      </c>
      <c r="U573" s="253"/>
    </row>
    <row r="574" spans="1:21" ht="12.75">
      <c r="A574" s="116">
        <f t="shared" si="38"/>
        <v>568</v>
      </c>
      <c r="B574" s="9" t="s">
        <v>1249</v>
      </c>
      <c r="C574" s="9">
        <v>10050</v>
      </c>
      <c r="D574" s="122"/>
      <c r="E574" s="115"/>
      <c r="F574" s="115"/>
      <c r="G574" s="115"/>
      <c r="H574" s="115"/>
      <c r="I574" s="115"/>
      <c r="J574" s="115"/>
      <c r="K574" s="115"/>
      <c r="L574" s="115"/>
      <c r="M574" s="115"/>
      <c r="N574" s="119"/>
      <c r="O574" s="119"/>
      <c r="P574" s="119"/>
      <c r="Q574" s="115">
        <f t="shared" si="41"/>
        <v>0</v>
      </c>
      <c r="R574" s="258" t="s">
        <v>300</v>
      </c>
      <c r="U574" s="253"/>
    </row>
    <row r="575" spans="1:21" ht="12.75">
      <c r="A575" s="116">
        <f t="shared" si="38"/>
        <v>569</v>
      </c>
      <c r="B575" s="9" t="s">
        <v>1250</v>
      </c>
      <c r="C575" s="9">
        <v>10051</v>
      </c>
      <c r="D575" s="122"/>
      <c r="E575" s="115"/>
      <c r="F575" s="115"/>
      <c r="G575" s="115"/>
      <c r="H575" s="115"/>
      <c r="I575" s="115"/>
      <c r="J575" s="115"/>
      <c r="K575" s="115"/>
      <c r="L575" s="115"/>
      <c r="M575" s="115"/>
      <c r="N575" s="119"/>
      <c r="O575" s="119"/>
      <c r="P575" s="119"/>
      <c r="Q575" s="115">
        <f t="shared" si="41"/>
        <v>0</v>
      </c>
      <c r="R575" s="258" t="s">
        <v>300</v>
      </c>
      <c r="U575" s="253"/>
    </row>
    <row r="576" spans="1:21" ht="12.75">
      <c r="A576" s="116">
        <f t="shared" si="38"/>
        <v>570</v>
      </c>
      <c r="B576" s="9" t="s">
        <v>1251</v>
      </c>
      <c r="C576" s="9">
        <v>10052</v>
      </c>
      <c r="D576" s="122"/>
      <c r="E576" s="115"/>
      <c r="F576" s="115"/>
      <c r="G576" s="115"/>
      <c r="H576" s="115"/>
      <c r="I576" s="115"/>
      <c r="J576" s="115"/>
      <c r="K576" s="115"/>
      <c r="L576" s="115"/>
      <c r="M576" s="115"/>
      <c r="N576" s="119"/>
      <c r="O576" s="119"/>
      <c r="P576" s="119"/>
      <c r="Q576" s="115">
        <f t="shared" si="41"/>
        <v>0</v>
      </c>
      <c r="R576" s="258" t="s">
        <v>300</v>
      </c>
      <c r="U576" s="253"/>
    </row>
    <row r="577" spans="1:21" ht="12.75">
      <c r="A577" s="116">
        <f t="shared" si="38"/>
        <v>571</v>
      </c>
      <c r="B577" s="9" t="s">
        <v>1252</v>
      </c>
      <c r="C577" s="9">
        <v>10053</v>
      </c>
      <c r="D577" s="122"/>
      <c r="E577" s="115"/>
      <c r="F577" s="115"/>
      <c r="G577" s="115"/>
      <c r="H577" s="115"/>
      <c r="I577" s="115"/>
      <c r="J577" s="115"/>
      <c r="K577" s="115"/>
      <c r="L577" s="115"/>
      <c r="M577" s="115"/>
      <c r="N577" s="119"/>
      <c r="O577" s="119"/>
      <c r="P577" s="119"/>
      <c r="Q577" s="115">
        <f t="shared" si="41"/>
        <v>0</v>
      </c>
      <c r="R577" s="258" t="s">
        <v>300</v>
      </c>
      <c r="U577" s="253"/>
    </row>
    <row r="578" spans="1:21" ht="12.75">
      <c r="A578" s="116">
        <f t="shared" si="38"/>
        <v>572</v>
      </c>
      <c r="B578" s="9" t="s">
        <v>1253</v>
      </c>
      <c r="C578" s="9">
        <v>10054</v>
      </c>
      <c r="D578" s="122"/>
      <c r="E578" s="115"/>
      <c r="F578" s="115"/>
      <c r="G578" s="115"/>
      <c r="H578" s="115"/>
      <c r="I578" s="115"/>
      <c r="J578" s="115"/>
      <c r="K578" s="115"/>
      <c r="L578" s="115"/>
      <c r="M578" s="115"/>
      <c r="N578" s="119"/>
      <c r="O578" s="119"/>
      <c r="P578" s="119"/>
      <c r="Q578" s="115">
        <f t="shared" si="41"/>
        <v>0</v>
      </c>
      <c r="R578" s="258" t="s">
        <v>300</v>
      </c>
      <c r="U578" s="253"/>
    </row>
    <row r="579" spans="1:21" ht="12.75">
      <c r="A579" s="116">
        <f t="shared" si="38"/>
        <v>573</v>
      </c>
      <c r="B579" s="9" t="s">
        <v>1254</v>
      </c>
      <c r="C579" s="9">
        <v>10055</v>
      </c>
      <c r="D579" s="122"/>
      <c r="E579" s="115"/>
      <c r="F579" s="115"/>
      <c r="G579" s="115"/>
      <c r="H579" s="115"/>
      <c r="I579" s="115"/>
      <c r="J579" s="115"/>
      <c r="K579" s="115"/>
      <c r="L579" s="115"/>
      <c r="M579" s="115"/>
      <c r="N579" s="119"/>
      <c r="O579" s="119"/>
      <c r="P579" s="119"/>
      <c r="Q579" s="115">
        <f t="shared" si="41"/>
        <v>0</v>
      </c>
      <c r="R579" s="258" t="s">
        <v>300</v>
      </c>
      <c r="U579" s="253"/>
    </row>
    <row r="580" spans="1:21" ht="12.75">
      <c r="A580" s="116">
        <f t="shared" si="38"/>
        <v>574</v>
      </c>
      <c r="B580" s="9" t="s">
        <v>1255</v>
      </c>
      <c r="C580" s="12">
        <v>10056</v>
      </c>
      <c r="D580" s="122"/>
      <c r="E580" s="115"/>
      <c r="F580" s="115"/>
      <c r="G580" s="115"/>
      <c r="H580" s="115"/>
      <c r="I580" s="115"/>
      <c r="J580" s="115"/>
      <c r="K580" s="115"/>
      <c r="L580" s="115"/>
      <c r="M580" s="115"/>
      <c r="N580" s="119"/>
      <c r="O580" s="119"/>
      <c r="P580" s="119"/>
      <c r="Q580" s="115">
        <f t="shared" si="41"/>
        <v>0</v>
      </c>
      <c r="R580" s="258" t="s">
        <v>300</v>
      </c>
      <c r="S580" s="271"/>
      <c r="U580" s="253"/>
    </row>
    <row r="581" spans="1:21" ht="12.75">
      <c r="A581" s="116">
        <f t="shared" si="38"/>
        <v>575</v>
      </c>
      <c r="B581" s="9" t="s">
        <v>1256</v>
      </c>
      <c r="C581" s="9">
        <v>10057</v>
      </c>
      <c r="D581" s="122"/>
      <c r="E581" s="115"/>
      <c r="F581" s="115"/>
      <c r="G581" s="115"/>
      <c r="H581" s="115"/>
      <c r="I581" s="115"/>
      <c r="J581" s="115"/>
      <c r="K581" s="115"/>
      <c r="L581" s="115"/>
      <c r="M581" s="115"/>
      <c r="N581" s="119"/>
      <c r="O581" s="119"/>
      <c r="P581" s="119"/>
      <c r="Q581" s="115">
        <f t="shared" si="41"/>
        <v>0</v>
      </c>
      <c r="R581" s="258" t="s">
        <v>300</v>
      </c>
      <c r="S581" s="271"/>
      <c r="U581" s="253"/>
    </row>
    <row r="582" spans="1:21" ht="12.75">
      <c r="A582" s="116">
        <f t="shared" si="38"/>
        <v>576</v>
      </c>
      <c r="B582" s="9" t="s">
        <v>1257</v>
      </c>
      <c r="C582" s="9">
        <v>10058</v>
      </c>
      <c r="D582" s="122"/>
      <c r="E582" s="115"/>
      <c r="F582" s="115"/>
      <c r="G582" s="115"/>
      <c r="H582" s="115"/>
      <c r="I582" s="115"/>
      <c r="J582" s="115"/>
      <c r="K582" s="115"/>
      <c r="L582" s="115"/>
      <c r="M582" s="115"/>
      <c r="N582" s="119"/>
      <c r="O582" s="119"/>
      <c r="P582" s="119"/>
      <c r="Q582" s="115">
        <f t="shared" si="41"/>
        <v>0</v>
      </c>
      <c r="R582" s="258" t="s">
        <v>300</v>
      </c>
      <c r="S582" s="271"/>
      <c r="U582" s="253"/>
    </row>
    <row r="583" spans="1:21" ht="12.75">
      <c r="A583" s="116">
        <f t="shared" si="38"/>
        <v>577</v>
      </c>
      <c r="B583" s="9" t="s">
        <v>1258</v>
      </c>
      <c r="C583" s="9">
        <v>10059</v>
      </c>
      <c r="D583" s="122"/>
      <c r="E583" s="115"/>
      <c r="F583" s="115"/>
      <c r="G583" s="115"/>
      <c r="H583" s="115"/>
      <c r="I583" s="115"/>
      <c r="J583" s="115"/>
      <c r="K583" s="115"/>
      <c r="L583" s="115"/>
      <c r="M583" s="115"/>
      <c r="N583" s="119"/>
      <c r="O583" s="119"/>
      <c r="P583" s="119"/>
      <c r="Q583" s="115">
        <f t="shared" si="41"/>
        <v>0</v>
      </c>
      <c r="R583" s="258" t="s">
        <v>300</v>
      </c>
      <c r="S583" s="271"/>
      <c r="U583" s="253"/>
    </row>
    <row r="584" spans="1:21" ht="12.75">
      <c r="A584" s="116">
        <f t="shared" si="38"/>
        <v>578</v>
      </c>
      <c r="B584" s="9" t="s">
        <v>1259</v>
      </c>
      <c r="C584" s="12">
        <v>10060</v>
      </c>
      <c r="D584" s="122"/>
      <c r="E584" s="115"/>
      <c r="F584" s="115"/>
      <c r="G584" s="115"/>
      <c r="H584" s="115"/>
      <c r="I584" s="115"/>
      <c r="J584" s="115"/>
      <c r="K584" s="115"/>
      <c r="L584" s="115"/>
      <c r="M584" s="115"/>
      <c r="N584" s="119"/>
      <c r="O584" s="119"/>
      <c r="P584" s="119"/>
      <c r="Q584" s="115">
        <f t="shared" si="41"/>
        <v>0</v>
      </c>
      <c r="R584" s="258" t="s">
        <v>300</v>
      </c>
      <c r="S584" s="271"/>
      <c r="U584" s="253"/>
    </row>
    <row r="585" spans="1:21" ht="12.75">
      <c r="A585" s="116">
        <f aca="true" t="shared" si="42" ref="A585:A648">A584+1</f>
        <v>579</v>
      </c>
      <c r="B585" s="9" t="s">
        <v>1260</v>
      </c>
      <c r="C585" s="9">
        <v>10061</v>
      </c>
      <c r="D585" s="122"/>
      <c r="E585" s="115"/>
      <c r="F585" s="115"/>
      <c r="G585" s="115"/>
      <c r="H585" s="115"/>
      <c r="I585" s="115"/>
      <c r="J585" s="115"/>
      <c r="K585" s="115"/>
      <c r="L585" s="115"/>
      <c r="M585" s="115"/>
      <c r="N585" s="119"/>
      <c r="O585" s="119"/>
      <c r="P585" s="119"/>
      <c r="Q585" s="115">
        <f t="shared" si="41"/>
        <v>0</v>
      </c>
      <c r="R585" s="258" t="s">
        <v>300</v>
      </c>
      <c r="S585" s="271"/>
      <c r="U585" s="253"/>
    </row>
    <row r="586" spans="1:21" ht="12.75">
      <c r="A586" s="116">
        <f t="shared" si="42"/>
        <v>580</v>
      </c>
      <c r="B586" s="9" t="s">
        <v>1261</v>
      </c>
      <c r="C586" s="9">
        <v>10062</v>
      </c>
      <c r="D586" s="122"/>
      <c r="E586" s="115"/>
      <c r="F586" s="115"/>
      <c r="G586" s="115"/>
      <c r="H586" s="115"/>
      <c r="I586" s="115"/>
      <c r="J586" s="115"/>
      <c r="K586" s="115"/>
      <c r="L586" s="115"/>
      <c r="M586" s="115"/>
      <c r="N586" s="119"/>
      <c r="O586" s="119"/>
      <c r="P586" s="119"/>
      <c r="Q586" s="115">
        <f t="shared" si="41"/>
        <v>0</v>
      </c>
      <c r="R586" s="258" t="s">
        <v>300</v>
      </c>
      <c r="S586" s="271"/>
      <c r="U586" s="253"/>
    </row>
    <row r="587" spans="1:21" ht="12.75">
      <c r="A587" s="116">
        <f t="shared" si="42"/>
        <v>581</v>
      </c>
      <c r="B587" s="9" t="s">
        <v>1262</v>
      </c>
      <c r="C587" s="9">
        <v>10063</v>
      </c>
      <c r="D587" s="122"/>
      <c r="E587" s="115"/>
      <c r="F587" s="115"/>
      <c r="G587" s="115"/>
      <c r="H587" s="115"/>
      <c r="I587" s="115"/>
      <c r="J587" s="115"/>
      <c r="K587" s="115"/>
      <c r="L587" s="115"/>
      <c r="M587" s="115"/>
      <c r="N587" s="119"/>
      <c r="O587" s="119"/>
      <c r="P587" s="119"/>
      <c r="Q587" s="115">
        <f t="shared" si="41"/>
        <v>0</v>
      </c>
      <c r="R587" s="258" t="s">
        <v>300</v>
      </c>
      <c r="S587" s="271"/>
      <c r="U587" s="253"/>
    </row>
    <row r="588" spans="1:21" ht="12.75">
      <c r="A588" s="116">
        <f t="shared" si="42"/>
        <v>582</v>
      </c>
      <c r="B588" s="9" t="s">
        <v>1263</v>
      </c>
      <c r="C588" s="9">
        <v>10064</v>
      </c>
      <c r="D588" s="122"/>
      <c r="E588" s="115"/>
      <c r="F588" s="115"/>
      <c r="G588" s="115"/>
      <c r="H588" s="115"/>
      <c r="I588" s="115"/>
      <c r="J588" s="115"/>
      <c r="K588" s="115"/>
      <c r="L588" s="115"/>
      <c r="M588" s="115"/>
      <c r="N588" s="119"/>
      <c r="O588" s="119"/>
      <c r="P588" s="119"/>
      <c r="Q588" s="115">
        <f t="shared" si="41"/>
        <v>0</v>
      </c>
      <c r="R588" s="258" t="s">
        <v>300</v>
      </c>
      <c r="S588" s="271"/>
      <c r="U588" s="253"/>
    </row>
    <row r="589" spans="1:21" ht="12.75">
      <c r="A589" s="116">
        <f t="shared" si="42"/>
        <v>583</v>
      </c>
      <c r="B589" s="9" t="s">
        <v>1264</v>
      </c>
      <c r="C589" s="9">
        <v>10065</v>
      </c>
      <c r="D589" s="122"/>
      <c r="E589" s="115"/>
      <c r="F589" s="115"/>
      <c r="G589" s="115"/>
      <c r="H589" s="115"/>
      <c r="I589" s="115"/>
      <c r="J589" s="115"/>
      <c r="K589" s="115"/>
      <c r="L589" s="115"/>
      <c r="M589" s="115"/>
      <c r="N589" s="119"/>
      <c r="O589" s="119"/>
      <c r="P589" s="119"/>
      <c r="Q589" s="115">
        <f t="shared" si="41"/>
        <v>0</v>
      </c>
      <c r="R589" s="258" t="s">
        <v>300</v>
      </c>
      <c r="S589" s="271"/>
      <c r="U589" s="253"/>
    </row>
    <row r="590" spans="1:21" ht="12.75">
      <c r="A590" s="116">
        <f t="shared" si="42"/>
        <v>584</v>
      </c>
      <c r="B590" s="9" t="s">
        <v>1265</v>
      </c>
      <c r="C590" s="9">
        <v>10066</v>
      </c>
      <c r="D590" s="122"/>
      <c r="E590" s="115"/>
      <c r="F590" s="115"/>
      <c r="G590" s="115"/>
      <c r="H590" s="115"/>
      <c r="I590" s="115"/>
      <c r="J590" s="115"/>
      <c r="K590" s="115"/>
      <c r="L590" s="115"/>
      <c r="M590" s="115"/>
      <c r="N590" s="119"/>
      <c r="O590" s="119"/>
      <c r="P590" s="119"/>
      <c r="Q590" s="115">
        <f t="shared" si="41"/>
        <v>0</v>
      </c>
      <c r="R590" s="258" t="s">
        <v>300</v>
      </c>
      <c r="S590" s="271"/>
      <c r="U590" s="253"/>
    </row>
    <row r="591" spans="1:21" ht="12.75">
      <c r="A591" s="116">
        <f t="shared" si="42"/>
        <v>585</v>
      </c>
      <c r="B591" s="9" t="s">
        <v>1266</v>
      </c>
      <c r="C591" s="12">
        <v>10067</v>
      </c>
      <c r="D591" s="122"/>
      <c r="E591" s="115"/>
      <c r="F591" s="115"/>
      <c r="G591" s="115"/>
      <c r="H591" s="115"/>
      <c r="I591" s="115"/>
      <c r="J591" s="115"/>
      <c r="K591" s="115"/>
      <c r="L591" s="115"/>
      <c r="M591" s="115"/>
      <c r="N591" s="119"/>
      <c r="O591" s="119"/>
      <c r="P591" s="119"/>
      <c r="Q591" s="115">
        <f t="shared" si="41"/>
        <v>0</v>
      </c>
      <c r="R591" s="258" t="s">
        <v>300</v>
      </c>
      <c r="S591" s="271"/>
      <c r="U591" s="253"/>
    </row>
    <row r="592" spans="1:21" ht="12.75">
      <c r="A592" s="116">
        <f t="shared" si="42"/>
        <v>586</v>
      </c>
      <c r="B592" s="9" t="s">
        <v>1267</v>
      </c>
      <c r="C592" s="9">
        <v>10068</v>
      </c>
      <c r="D592" s="122"/>
      <c r="E592" s="115"/>
      <c r="F592" s="115"/>
      <c r="G592" s="115"/>
      <c r="H592" s="115"/>
      <c r="I592" s="115"/>
      <c r="J592" s="115"/>
      <c r="K592" s="115"/>
      <c r="L592" s="115"/>
      <c r="M592" s="115"/>
      <c r="N592" s="119"/>
      <c r="O592" s="119"/>
      <c r="P592" s="119"/>
      <c r="Q592" s="115">
        <f t="shared" si="41"/>
        <v>0</v>
      </c>
      <c r="R592" s="258" t="s">
        <v>300</v>
      </c>
      <c r="S592" s="271"/>
      <c r="U592" s="253"/>
    </row>
    <row r="593" spans="1:21" ht="12.75">
      <c r="A593" s="116">
        <f t="shared" si="42"/>
        <v>587</v>
      </c>
      <c r="B593" s="9" t="s">
        <v>1268</v>
      </c>
      <c r="C593" s="9">
        <v>10069</v>
      </c>
      <c r="D593" s="122"/>
      <c r="E593" s="115"/>
      <c r="F593" s="115"/>
      <c r="G593" s="115"/>
      <c r="H593" s="115"/>
      <c r="I593" s="115"/>
      <c r="J593" s="115"/>
      <c r="K593" s="115"/>
      <c r="L593" s="115"/>
      <c r="M593" s="115"/>
      <c r="N593" s="119"/>
      <c r="O593" s="119"/>
      <c r="P593" s="119"/>
      <c r="Q593" s="115">
        <f t="shared" si="41"/>
        <v>0</v>
      </c>
      <c r="R593" s="258" t="s">
        <v>300</v>
      </c>
      <c r="S593" s="271"/>
      <c r="U593" s="253"/>
    </row>
    <row r="594" spans="1:21" ht="12.75">
      <c r="A594" s="116">
        <f t="shared" si="42"/>
        <v>588</v>
      </c>
      <c r="B594" s="9" t="s">
        <v>1269</v>
      </c>
      <c r="C594" s="9">
        <v>10070</v>
      </c>
      <c r="D594" s="122"/>
      <c r="E594" s="115"/>
      <c r="F594" s="115"/>
      <c r="G594" s="115"/>
      <c r="H594" s="115"/>
      <c r="I594" s="115"/>
      <c r="J594" s="115"/>
      <c r="K594" s="115"/>
      <c r="L594" s="115"/>
      <c r="M594" s="115"/>
      <c r="N594" s="119"/>
      <c r="O594" s="119"/>
      <c r="P594" s="119"/>
      <c r="Q594" s="115">
        <f t="shared" si="41"/>
        <v>0</v>
      </c>
      <c r="R594" s="258" t="s">
        <v>300</v>
      </c>
      <c r="S594" s="271"/>
      <c r="U594" s="253"/>
    </row>
    <row r="595" spans="1:21" ht="12.75">
      <c r="A595" s="116">
        <f t="shared" si="42"/>
        <v>589</v>
      </c>
      <c r="B595" s="9" t="s">
        <v>1270</v>
      </c>
      <c r="C595" s="12">
        <v>10071</v>
      </c>
      <c r="D595" s="122"/>
      <c r="E595" s="115"/>
      <c r="F595" s="115"/>
      <c r="G595" s="115"/>
      <c r="H595" s="115"/>
      <c r="I595" s="115"/>
      <c r="J595" s="115"/>
      <c r="K595" s="115"/>
      <c r="L595" s="115"/>
      <c r="M595" s="115"/>
      <c r="N595" s="119"/>
      <c r="O595" s="119"/>
      <c r="P595" s="119"/>
      <c r="Q595" s="115">
        <f t="shared" si="41"/>
        <v>0</v>
      </c>
      <c r="R595" s="258" t="s">
        <v>300</v>
      </c>
      <c r="S595" s="271"/>
      <c r="U595" s="253"/>
    </row>
    <row r="596" spans="1:21" ht="12.75">
      <c r="A596" s="116">
        <f t="shared" si="42"/>
        <v>590</v>
      </c>
      <c r="B596" s="9" t="s">
        <v>1271</v>
      </c>
      <c r="C596" s="9">
        <v>10072</v>
      </c>
      <c r="D596" s="122"/>
      <c r="E596" s="115"/>
      <c r="F596" s="115"/>
      <c r="G596" s="115"/>
      <c r="H596" s="115"/>
      <c r="I596" s="115"/>
      <c r="J596" s="115"/>
      <c r="K596" s="115"/>
      <c r="L596" s="115"/>
      <c r="M596" s="115"/>
      <c r="N596" s="119"/>
      <c r="O596" s="119"/>
      <c r="P596" s="119"/>
      <c r="Q596" s="115">
        <f t="shared" si="41"/>
        <v>0</v>
      </c>
      <c r="R596" s="258" t="s">
        <v>300</v>
      </c>
      <c r="S596" s="271"/>
      <c r="U596" s="253"/>
    </row>
    <row r="597" spans="1:21" ht="12.75">
      <c r="A597" s="116">
        <f t="shared" si="42"/>
        <v>591</v>
      </c>
      <c r="B597" s="9" t="s">
        <v>1272</v>
      </c>
      <c r="C597" s="9">
        <v>10073</v>
      </c>
      <c r="D597" s="122"/>
      <c r="E597" s="115"/>
      <c r="F597" s="115"/>
      <c r="G597" s="115"/>
      <c r="H597" s="115"/>
      <c r="I597" s="115"/>
      <c r="J597" s="115"/>
      <c r="K597" s="115"/>
      <c r="L597" s="115"/>
      <c r="M597" s="115"/>
      <c r="N597" s="119"/>
      <c r="O597" s="119"/>
      <c r="P597" s="119"/>
      <c r="Q597" s="115">
        <f t="shared" si="41"/>
        <v>0</v>
      </c>
      <c r="R597" s="258" t="s">
        <v>300</v>
      </c>
      <c r="S597" s="271"/>
      <c r="U597" s="253"/>
    </row>
    <row r="598" spans="1:21" ht="12.75">
      <c r="A598" s="116">
        <f t="shared" si="42"/>
        <v>592</v>
      </c>
      <c r="B598" s="9" t="s">
        <v>1273</v>
      </c>
      <c r="C598" s="9">
        <v>10074</v>
      </c>
      <c r="D598" s="122"/>
      <c r="E598" s="115"/>
      <c r="F598" s="115"/>
      <c r="G598" s="115"/>
      <c r="H598" s="115"/>
      <c r="I598" s="115"/>
      <c r="J598" s="115"/>
      <c r="K598" s="115"/>
      <c r="L598" s="115"/>
      <c r="M598" s="115"/>
      <c r="N598" s="119"/>
      <c r="O598" s="119"/>
      <c r="P598" s="119"/>
      <c r="Q598" s="115">
        <f t="shared" si="41"/>
        <v>0</v>
      </c>
      <c r="R598" s="258" t="s">
        <v>300</v>
      </c>
      <c r="S598" s="271"/>
      <c r="U598" s="253"/>
    </row>
    <row r="599" spans="1:21" ht="12.75">
      <c r="A599" s="116">
        <f t="shared" si="42"/>
        <v>593</v>
      </c>
      <c r="B599" s="9" t="s">
        <v>1274</v>
      </c>
      <c r="C599" s="9">
        <v>10075</v>
      </c>
      <c r="D599" s="122"/>
      <c r="E599" s="115"/>
      <c r="F599" s="115"/>
      <c r="G599" s="115"/>
      <c r="H599" s="115"/>
      <c r="I599" s="115"/>
      <c r="J599" s="115"/>
      <c r="K599" s="115"/>
      <c r="L599" s="115"/>
      <c r="M599" s="115"/>
      <c r="N599" s="119"/>
      <c r="O599" s="119"/>
      <c r="P599" s="119"/>
      <c r="Q599" s="115">
        <f t="shared" si="41"/>
        <v>0</v>
      </c>
      <c r="R599" s="258" t="s">
        <v>300</v>
      </c>
      <c r="S599" s="271"/>
      <c r="U599" s="253"/>
    </row>
    <row r="600" spans="1:21" ht="12.75">
      <c r="A600" s="116">
        <f t="shared" si="42"/>
        <v>594</v>
      </c>
      <c r="B600" s="9" t="s">
        <v>1275</v>
      </c>
      <c r="C600" s="9">
        <v>10076</v>
      </c>
      <c r="D600" s="122"/>
      <c r="E600" s="115"/>
      <c r="F600" s="115"/>
      <c r="G600" s="115"/>
      <c r="H600" s="115"/>
      <c r="I600" s="115"/>
      <c r="J600" s="115"/>
      <c r="K600" s="115"/>
      <c r="L600" s="115"/>
      <c r="M600" s="115"/>
      <c r="N600" s="119"/>
      <c r="O600" s="119"/>
      <c r="P600" s="119"/>
      <c r="Q600" s="115">
        <f t="shared" si="41"/>
        <v>0</v>
      </c>
      <c r="R600" s="258" t="s">
        <v>300</v>
      </c>
      <c r="S600" s="271"/>
      <c r="U600" s="253"/>
    </row>
    <row r="601" spans="1:21" ht="12.75">
      <c r="A601" s="116">
        <f t="shared" si="42"/>
        <v>595</v>
      </c>
      <c r="B601" s="9" t="s">
        <v>1276</v>
      </c>
      <c r="C601" s="9">
        <v>10077</v>
      </c>
      <c r="D601" s="122"/>
      <c r="E601" s="115"/>
      <c r="F601" s="115"/>
      <c r="G601" s="115"/>
      <c r="H601" s="115"/>
      <c r="I601" s="115"/>
      <c r="J601" s="115"/>
      <c r="K601" s="115"/>
      <c r="L601" s="115"/>
      <c r="M601" s="115"/>
      <c r="N601" s="119"/>
      <c r="O601" s="119"/>
      <c r="P601" s="119"/>
      <c r="Q601" s="115">
        <f t="shared" si="41"/>
        <v>0</v>
      </c>
      <c r="R601" s="258" t="s">
        <v>300</v>
      </c>
      <c r="S601" s="271"/>
      <c r="U601" s="253"/>
    </row>
    <row r="602" spans="1:21" ht="12.75">
      <c r="A602" s="116">
        <f t="shared" si="42"/>
        <v>596</v>
      </c>
      <c r="B602" s="9" t="s">
        <v>1277</v>
      </c>
      <c r="C602" s="12">
        <v>10078</v>
      </c>
      <c r="D602" s="122"/>
      <c r="E602" s="115"/>
      <c r="F602" s="115"/>
      <c r="G602" s="115"/>
      <c r="H602" s="115"/>
      <c r="I602" s="115"/>
      <c r="J602" s="115"/>
      <c r="K602" s="115"/>
      <c r="L602" s="115"/>
      <c r="M602" s="115"/>
      <c r="N602" s="119"/>
      <c r="O602" s="119"/>
      <c r="P602" s="119"/>
      <c r="Q602" s="115">
        <f t="shared" si="41"/>
        <v>0</v>
      </c>
      <c r="R602" s="258" t="s">
        <v>300</v>
      </c>
      <c r="S602" s="271"/>
      <c r="U602" s="253"/>
    </row>
    <row r="603" spans="1:21" ht="12.75">
      <c r="A603" s="116">
        <f t="shared" si="42"/>
        <v>597</v>
      </c>
      <c r="B603" s="9" t="s">
        <v>1278</v>
      </c>
      <c r="C603" s="9">
        <v>10079</v>
      </c>
      <c r="D603" s="122"/>
      <c r="E603" s="115"/>
      <c r="F603" s="115"/>
      <c r="G603" s="115"/>
      <c r="H603" s="115"/>
      <c r="I603" s="115"/>
      <c r="J603" s="115"/>
      <c r="K603" s="115"/>
      <c r="L603" s="115"/>
      <c r="M603" s="115"/>
      <c r="N603" s="119"/>
      <c r="O603" s="119"/>
      <c r="P603" s="119"/>
      <c r="Q603" s="115">
        <f t="shared" si="41"/>
        <v>0</v>
      </c>
      <c r="R603" s="258" t="s">
        <v>300</v>
      </c>
      <c r="S603" s="271"/>
      <c r="U603" s="253"/>
    </row>
    <row r="604" spans="1:21" ht="12.75">
      <c r="A604" s="116">
        <f t="shared" si="42"/>
        <v>598</v>
      </c>
      <c r="B604" s="9" t="s">
        <v>1279</v>
      </c>
      <c r="C604" s="9">
        <v>10080</v>
      </c>
      <c r="D604" s="122"/>
      <c r="E604" s="115"/>
      <c r="F604" s="115"/>
      <c r="G604" s="115"/>
      <c r="H604" s="115"/>
      <c r="I604" s="115"/>
      <c r="J604" s="115"/>
      <c r="K604" s="115"/>
      <c r="L604" s="115"/>
      <c r="M604" s="115"/>
      <c r="N604" s="119"/>
      <c r="O604" s="119"/>
      <c r="P604" s="119"/>
      <c r="Q604" s="115">
        <f t="shared" si="41"/>
        <v>0</v>
      </c>
      <c r="R604" s="258" t="s">
        <v>300</v>
      </c>
      <c r="S604" s="271"/>
      <c r="U604" s="253"/>
    </row>
    <row r="605" spans="1:21" ht="12.75">
      <c r="A605" s="116">
        <f t="shared" si="42"/>
        <v>599</v>
      </c>
      <c r="B605" s="9" t="s">
        <v>1280</v>
      </c>
      <c r="C605" s="9">
        <v>10081</v>
      </c>
      <c r="D605" s="122"/>
      <c r="E605" s="115"/>
      <c r="F605" s="115"/>
      <c r="G605" s="115"/>
      <c r="H605" s="115"/>
      <c r="I605" s="115"/>
      <c r="J605" s="115"/>
      <c r="K605" s="115"/>
      <c r="L605" s="115"/>
      <c r="M605" s="115"/>
      <c r="N605" s="119"/>
      <c r="O605" s="119"/>
      <c r="P605" s="119"/>
      <c r="Q605" s="115">
        <f t="shared" si="41"/>
        <v>0</v>
      </c>
      <c r="R605" s="258" t="s">
        <v>300</v>
      </c>
      <c r="S605" s="271"/>
      <c r="U605" s="253"/>
    </row>
    <row r="606" spans="1:21" ht="12.75">
      <c r="A606" s="116">
        <f t="shared" si="42"/>
        <v>600</v>
      </c>
      <c r="B606" s="9" t="s">
        <v>1281</v>
      </c>
      <c r="C606" s="12">
        <v>10082</v>
      </c>
      <c r="D606" s="122"/>
      <c r="E606" s="115"/>
      <c r="F606" s="115"/>
      <c r="G606" s="115"/>
      <c r="H606" s="115"/>
      <c r="I606" s="115"/>
      <c r="J606" s="115"/>
      <c r="K606" s="115"/>
      <c r="L606" s="115"/>
      <c r="M606" s="115"/>
      <c r="N606" s="119"/>
      <c r="O606" s="119"/>
      <c r="P606" s="119"/>
      <c r="Q606" s="115">
        <f t="shared" si="41"/>
        <v>0</v>
      </c>
      <c r="R606" s="258" t="s">
        <v>300</v>
      </c>
      <c r="S606" s="271"/>
      <c r="U606" s="253"/>
    </row>
    <row r="607" spans="1:21" ht="12.75">
      <c r="A607" s="116">
        <f t="shared" si="42"/>
        <v>601</v>
      </c>
      <c r="B607" s="9" t="s">
        <v>1282</v>
      </c>
      <c r="C607" s="9">
        <v>10083</v>
      </c>
      <c r="D607" s="122"/>
      <c r="E607" s="115"/>
      <c r="F607" s="115"/>
      <c r="G607" s="115"/>
      <c r="H607" s="115"/>
      <c r="I607" s="115"/>
      <c r="J607" s="115"/>
      <c r="K607" s="115"/>
      <c r="L607" s="115"/>
      <c r="M607" s="115"/>
      <c r="N607" s="119"/>
      <c r="O607" s="119"/>
      <c r="P607" s="119"/>
      <c r="Q607" s="115">
        <f t="shared" si="41"/>
        <v>0</v>
      </c>
      <c r="R607" s="258" t="s">
        <v>300</v>
      </c>
      <c r="S607" s="271"/>
      <c r="U607" s="253"/>
    </row>
    <row r="608" spans="1:21" ht="12.75">
      <c r="A608" s="116">
        <f t="shared" si="42"/>
        <v>602</v>
      </c>
      <c r="B608" s="9" t="s">
        <v>1283</v>
      </c>
      <c r="C608" s="9">
        <v>10084</v>
      </c>
      <c r="D608" s="122"/>
      <c r="E608" s="115"/>
      <c r="F608" s="115"/>
      <c r="G608" s="115"/>
      <c r="H608" s="115"/>
      <c r="I608" s="115"/>
      <c r="J608" s="115"/>
      <c r="K608" s="115"/>
      <c r="L608" s="115"/>
      <c r="M608" s="115"/>
      <c r="N608" s="119"/>
      <c r="O608" s="119"/>
      <c r="P608" s="119"/>
      <c r="Q608" s="115">
        <f t="shared" si="41"/>
        <v>0</v>
      </c>
      <c r="R608" s="258" t="s">
        <v>300</v>
      </c>
      <c r="S608" s="271"/>
      <c r="U608" s="253"/>
    </row>
    <row r="609" spans="1:21" ht="12.75">
      <c r="A609" s="116">
        <f t="shared" si="42"/>
        <v>603</v>
      </c>
      <c r="B609" s="9" t="s">
        <v>1284</v>
      </c>
      <c r="C609" s="9">
        <v>10085</v>
      </c>
      <c r="D609" s="122"/>
      <c r="E609" s="115"/>
      <c r="F609" s="115"/>
      <c r="G609" s="115"/>
      <c r="H609" s="115"/>
      <c r="I609" s="115"/>
      <c r="J609" s="115"/>
      <c r="K609" s="115"/>
      <c r="L609" s="115"/>
      <c r="M609" s="115"/>
      <c r="N609" s="119"/>
      <c r="O609" s="119"/>
      <c r="P609" s="119"/>
      <c r="Q609" s="115">
        <f t="shared" si="41"/>
        <v>0</v>
      </c>
      <c r="R609" s="258" t="s">
        <v>300</v>
      </c>
      <c r="S609" s="271"/>
      <c r="U609" s="253"/>
    </row>
    <row r="610" spans="1:21" ht="12.75">
      <c r="A610" s="116">
        <f t="shared" si="42"/>
        <v>604</v>
      </c>
      <c r="B610" s="9" t="s">
        <v>1285</v>
      </c>
      <c r="C610" s="9">
        <v>10086</v>
      </c>
      <c r="D610" s="122"/>
      <c r="E610" s="115"/>
      <c r="F610" s="115"/>
      <c r="G610" s="115"/>
      <c r="H610" s="115"/>
      <c r="I610" s="115"/>
      <c r="J610" s="115"/>
      <c r="K610" s="115"/>
      <c r="L610" s="115"/>
      <c r="M610" s="115"/>
      <c r="N610" s="119"/>
      <c r="O610" s="119"/>
      <c r="P610" s="119"/>
      <c r="Q610" s="115">
        <f t="shared" si="41"/>
        <v>0</v>
      </c>
      <c r="R610" s="258" t="s">
        <v>300</v>
      </c>
      <c r="S610" s="271"/>
      <c r="U610" s="253"/>
    </row>
    <row r="611" spans="1:21" ht="12.75">
      <c r="A611" s="116">
        <f t="shared" si="42"/>
        <v>605</v>
      </c>
      <c r="B611" s="9" t="s">
        <v>1286</v>
      </c>
      <c r="C611" s="9">
        <v>10087</v>
      </c>
      <c r="D611" s="122"/>
      <c r="E611" s="115"/>
      <c r="F611" s="115"/>
      <c r="G611" s="115"/>
      <c r="H611" s="115"/>
      <c r="I611" s="115"/>
      <c r="J611" s="115"/>
      <c r="K611" s="115"/>
      <c r="L611" s="115"/>
      <c r="M611" s="115"/>
      <c r="N611" s="119"/>
      <c r="O611" s="119"/>
      <c r="P611" s="119"/>
      <c r="Q611" s="115">
        <f t="shared" si="41"/>
        <v>0</v>
      </c>
      <c r="R611" s="258" t="s">
        <v>300</v>
      </c>
      <c r="S611" s="271"/>
      <c r="U611" s="253"/>
    </row>
    <row r="612" spans="1:21" ht="12.75">
      <c r="A612" s="116">
        <f t="shared" si="42"/>
        <v>606</v>
      </c>
      <c r="B612" s="9" t="s">
        <v>1287</v>
      </c>
      <c r="C612" s="9">
        <v>10088</v>
      </c>
      <c r="D612" s="122"/>
      <c r="E612" s="115"/>
      <c r="F612" s="115"/>
      <c r="G612" s="115"/>
      <c r="H612" s="115"/>
      <c r="I612" s="115"/>
      <c r="J612" s="115"/>
      <c r="K612" s="115"/>
      <c r="L612" s="115"/>
      <c r="M612" s="115"/>
      <c r="N612" s="119"/>
      <c r="O612" s="119"/>
      <c r="P612" s="119"/>
      <c r="Q612" s="115">
        <f t="shared" si="41"/>
        <v>0</v>
      </c>
      <c r="R612" s="258" t="s">
        <v>300</v>
      </c>
      <c r="S612" s="271"/>
      <c r="U612" s="253"/>
    </row>
    <row r="613" spans="1:21" ht="12.75">
      <c r="A613" s="116">
        <f t="shared" si="42"/>
        <v>607</v>
      </c>
      <c r="B613" s="9" t="s">
        <v>1288</v>
      </c>
      <c r="C613" s="12">
        <v>10089</v>
      </c>
      <c r="D613" s="122"/>
      <c r="E613" s="115"/>
      <c r="F613" s="115"/>
      <c r="G613" s="115"/>
      <c r="H613" s="115"/>
      <c r="I613" s="115"/>
      <c r="J613" s="115"/>
      <c r="K613" s="115"/>
      <c r="L613" s="115"/>
      <c r="M613" s="115"/>
      <c r="N613" s="119"/>
      <c r="O613" s="119"/>
      <c r="P613" s="119"/>
      <c r="Q613" s="115">
        <f t="shared" si="41"/>
        <v>0</v>
      </c>
      <c r="R613" s="258" t="s">
        <v>300</v>
      </c>
      <c r="S613" s="271"/>
      <c r="U613" s="253"/>
    </row>
    <row r="614" spans="1:21" ht="12.75">
      <c r="A614" s="116">
        <f t="shared" si="42"/>
        <v>608</v>
      </c>
      <c r="B614" s="9" t="s">
        <v>1289</v>
      </c>
      <c r="C614" s="9">
        <v>10090</v>
      </c>
      <c r="D614" s="122"/>
      <c r="E614" s="115"/>
      <c r="F614" s="115"/>
      <c r="G614" s="115"/>
      <c r="H614" s="115"/>
      <c r="I614" s="115"/>
      <c r="J614" s="115"/>
      <c r="K614" s="115"/>
      <c r="L614" s="115"/>
      <c r="M614" s="115"/>
      <c r="N614" s="119"/>
      <c r="O614" s="119"/>
      <c r="P614" s="119"/>
      <c r="Q614" s="115">
        <f t="shared" si="41"/>
        <v>0</v>
      </c>
      <c r="R614" s="258" t="s">
        <v>300</v>
      </c>
      <c r="S614" s="271"/>
      <c r="U614" s="253"/>
    </row>
    <row r="615" spans="1:21" ht="12.75">
      <c r="A615" s="116">
        <f t="shared" si="42"/>
        <v>609</v>
      </c>
      <c r="B615" s="9" t="s">
        <v>1290</v>
      </c>
      <c r="C615" s="9">
        <v>10091</v>
      </c>
      <c r="D615" s="122"/>
      <c r="E615" s="115"/>
      <c r="F615" s="115"/>
      <c r="G615" s="115"/>
      <c r="H615" s="115"/>
      <c r="I615" s="115"/>
      <c r="J615" s="115"/>
      <c r="K615" s="115"/>
      <c r="L615" s="115"/>
      <c r="M615" s="115"/>
      <c r="N615" s="119"/>
      <c r="O615" s="119"/>
      <c r="P615" s="119"/>
      <c r="Q615" s="115">
        <f t="shared" si="41"/>
        <v>0</v>
      </c>
      <c r="R615" s="258" t="s">
        <v>300</v>
      </c>
      <c r="S615" s="271"/>
      <c r="U615" s="253"/>
    </row>
    <row r="616" spans="1:21" ht="12.75">
      <c r="A616" s="116">
        <f t="shared" si="42"/>
        <v>610</v>
      </c>
      <c r="B616" s="9" t="s">
        <v>1291</v>
      </c>
      <c r="C616" s="9">
        <v>10092</v>
      </c>
      <c r="D616" s="122"/>
      <c r="E616" s="115"/>
      <c r="F616" s="115"/>
      <c r="G616" s="115"/>
      <c r="H616" s="115"/>
      <c r="I616" s="115"/>
      <c r="J616" s="115"/>
      <c r="K616" s="115"/>
      <c r="L616" s="115"/>
      <c r="M616" s="115"/>
      <c r="N616" s="119"/>
      <c r="O616" s="119"/>
      <c r="P616" s="119"/>
      <c r="Q616" s="115">
        <f t="shared" si="41"/>
        <v>0</v>
      </c>
      <c r="R616" s="258" t="s">
        <v>300</v>
      </c>
      <c r="S616" s="271"/>
      <c r="U616" s="253"/>
    </row>
    <row r="617" spans="1:21" ht="12.75">
      <c r="A617" s="116">
        <f t="shared" si="42"/>
        <v>611</v>
      </c>
      <c r="B617" s="9" t="s">
        <v>1292</v>
      </c>
      <c r="C617" s="12">
        <v>10093</v>
      </c>
      <c r="D617" s="122"/>
      <c r="E617" s="115"/>
      <c r="F617" s="115"/>
      <c r="G617" s="115"/>
      <c r="H617" s="115"/>
      <c r="I617" s="115"/>
      <c r="J617" s="115"/>
      <c r="K617" s="115"/>
      <c r="L617" s="115"/>
      <c r="M617" s="115"/>
      <c r="N617" s="119"/>
      <c r="O617" s="119"/>
      <c r="P617" s="119"/>
      <c r="Q617" s="115">
        <f t="shared" si="41"/>
        <v>0</v>
      </c>
      <c r="R617" s="258" t="s">
        <v>300</v>
      </c>
      <c r="S617" s="271"/>
      <c r="U617" s="253"/>
    </row>
    <row r="618" spans="1:21" ht="12.75">
      <c r="A618" s="116">
        <f t="shared" si="42"/>
        <v>612</v>
      </c>
      <c r="B618" s="9" t="s">
        <v>1293</v>
      </c>
      <c r="C618" s="9">
        <v>10094</v>
      </c>
      <c r="D618" s="122"/>
      <c r="E618" s="115"/>
      <c r="F618" s="115"/>
      <c r="G618" s="115"/>
      <c r="H618" s="115"/>
      <c r="I618" s="115"/>
      <c r="J618" s="115"/>
      <c r="K618" s="115"/>
      <c r="L618" s="115"/>
      <c r="M618" s="115"/>
      <c r="N618" s="119"/>
      <c r="O618" s="119"/>
      <c r="P618" s="119"/>
      <c r="Q618" s="115">
        <f t="shared" si="41"/>
        <v>0</v>
      </c>
      <c r="R618" s="258" t="s">
        <v>300</v>
      </c>
      <c r="S618" s="271"/>
      <c r="U618" s="253"/>
    </row>
    <row r="619" spans="1:21" ht="12.75">
      <c r="A619" s="116">
        <f t="shared" si="42"/>
        <v>613</v>
      </c>
      <c r="B619" s="9" t="s">
        <v>1294</v>
      </c>
      <c r="C619" s="9">
        <v>10095</v>
      </c>
      <c r="D619" s="122"/>
      <c r="E619" s="115"/>
      <c r="F619" s="115"/>
      <c r="G619" s="115"/>
      <c r="H619" s="115"/>
      <c r="I619" s="115"/>
      <c r="J619" s="115"/>
      <c r="K619" s="115"/>
      <c r="L619" s="115"/>
      <c r="M619" s="115"/>
      <c r="N619" s="119"/>
      <c r="O619" s="119"/>
      <c r="P619" s="119"/>
      <c r="Q619" s="115">
        <f t="shared" si="41"/>
        <v>0</v>
      </c>
      <c r="R619" s="258" t="s">
        <v>300</v>
      </c>
      <c r="S619" s="271"/>
      <c r="U619" s="253"/>
    </row>
    <row r="620" spans="1:21" ht="12.75">
      <c r="A620" s="116">
        <f t="shared" si="42"/>
        <v>614</v>
      </c>
      <c r="B620" s="9" t="s">
        <v>1295</v>
      </c>
      <c r="C620" s="9">
        <v>10096</v>
      </c>
      <c r="D620" s="122"/>
      <c r="E620" s="115"/>
      <c r="F620" s="115"/>
      <c r="G620" s="115"/>
      <c r="H620" s="115"/>
      <c r="I620" s="115"/>
      <c r="J620" s="115"/>
      <c r="K620" s="115"/>
      <c r="L620" s="115"/>
      <c r="M620" s="115"/>
      <c r="N620" s="119"/>
      <c r="O620" s="119"/>
      <c r="P620" s="119"/>
      <c r="Q620" s="115">
        <f t="shared" si="41"/>
        <v>0</v>
      </c>
      <c r="R620" s="258" t="s">
        <v>300</v>
      </c>
      <c r="S620" s="271"/>
      <c r="U620" s="253"/>
    </row>
    <row r="621" spans="1:21" ht="12.75">
      <c r="A621" s="116">
        <f t="shared" si="42"/>
        <v>615</v>
      </c>
      <c r="B621" s="9" t="s">
        <v>1296</v>
      </c>
      <c r="C621" s="9">
        <v>10097</v>
      </c>
      <c r="D621" s="122"/>
      <c r="E621" s="115"/>
      <c r="F621" s="115"/>
      <c r="G621" s="115"/>
      <c r="H621" s="115"/>
      <c r="I621" s="115"/>
      <c r="J621" s="115"/>
      <c r="K621" s="115"/>
      <c r="L621" s="115"/>
      <c r="M621" s="115"/>
      <c r="N621" s="119"/>
      <c r="O621" s="119"/>
      <c r="P621" s="119"/>
      <c r="Q621" s="115">
        <f t="shared" si="41"/>
        <v>0</v>
      </c>
      <c r="R621" s="258" t="s">
        <v>300</v>
      </c>
      <c r="S621" s="271"/>
      <c r="U621" s="253"/>
    </row>
    <row r="622" spans="1:21" ht="12.75">
      <c r="A622" s="116">
        <f t="shared" si="42"/>
        <v>616</v>
      </c>
      <c r="B622" s="9" t="s">
        <v>1297</v>
      </c>
      <c r="C622" s="9">
        <v>10098</v>
      </c>
      <c r="D622" s="122"/>
      <c r="E622" s="115"/>
      <c r="F622" s="115"/>
      <c r="G622" s="115"/>
      <c r="H622" s="115"/>
      <c r="I622" s="115"/>
      <c r="J622" s="115"/>
      <c r="K622" s="115"/>
      <c r="L622" s="115"/>
      <c r="M622" s="115"/>
      <c r="N622" s="119"/>
      <c r="O622" s="119"/>
      <c r="P622" s="119"/>
      <c r="Q622" s="115">
        <f t="shared" si="41"/>
        <v>0</v>
      </c>
      <c r="R622" s="258" t="s">
        <v>300</v>
      </c>
      <c r="S622" s="271"/>
      <c r="U622" s="253"/>
    </row>
    <row r="623" spans="1:21" ht="12.75">
      <c r="A623" s="116">
        <f t="shared" si="42"/>
        <v>617</v>
      </c>
      <c r="B623" s="9" t="s">
        <v>1298</v>
      </c>
      <c r="C623" s="9">
        <v>10099</v>
      </c>
      <c r="D623" s="122"/>
      <c r="E623" s="115"/>
      <c r="F623" s="115"/>
      <c r="G623" s="115"/>
      <c r="H623" s="115"/>
      <c r="I623" s="115"/>
      <c r="J623" s="115"/>
      <c r="K623" s="115"/>
      <c r="L623" s="115"/>
      <c r="M623" s="115"/>
      <c r="N623" s="119"/>
      <c r="O623" s="119"/>
      <c r="P623" s="119"/>
      <c r="Q623" s="115">
        <f t="shared" si="41"/>
        <v>0</v>
      </c>
      <c r="R623" s="258" t="s">
        <v>300</v>
      </c>
      <c r="S623" s="271"/>
      <c r="U623" s="253"/>
    </row>
    <row r="624" spans="1:21" ht="12.75">
      <c r="A624" s="116">
        <f t="shared" si="42"/>
        <v>618</v>
      </c>
      <c r="B624" s="9" t="s">
        <v>1299</v>
      </c>
      <c r="C624" s="12">
        <v>10100</v>
      </c>
      <c r="D624" s="122"/>
      <c r="E624" s="115"/>
      <c r="F624" s="115"/>
      <c r="G624" s="115"/>
      <c r="H624" s="115"/>
      <c r="I624" s="115"/>
      <c r="J624" s="115"/>
      <c r="K624" s="115"/>
      <c r="L624" s="115"/>
      <c r="M624" s="115"/>
      <c r="N624" s="119"/>
      <c r="O624" s="119"/>
      <c r="P624" s="119"/>
      <c r="Q624" s="115">
        <f t="shared" si="41"/>
        <v>0</v>
      </c>
      <c r="R624" s="258" t="s">
        <v>300</v>
      </c>
      <c r="S624" s="271"/>
      <c r="U624" s="253"/>
    </row>
    <row r="625" spans="1:21" ht="12.75">
      <c r="A625" s="116">
        <f t="shared" si="42"/>
        <v>619</v>
      </c>
      <c r="B625" s="9" t="s">
        <v>1300</v>
      </c>
      <c r="C625" s="9">
        <v>10101</v>
      </c>
      <c r="D625" s="122"/>
      <c r="E625" s="115"/>
      <c r="F625" s="115"/>
      <c r="G625" s="115"/>
      <c r="H625" s="115"/>
      <c r="I625" s="115"/>
      <c r="J625" s="115"/>
      <c r="K625" s="115"/>
      <c r="L625" s="115"/>
      <c r="M625" s="115"/>
      <c r="N625" s="119"/>
      <c r="O625" s="119"/>
      <c r="P625" s="119"/>
      <c r="Q625" s="115">
        <f aca="true" t="shared" si="43" ref="Q625:Q688">E625+F625+G625+H625+I625+J625+K625+L625+M625+N625+O625+P625</f>
        <v>0</v>
      </c>
      <c r="R625" s="258" t="s">
        <v>300</v>
      </c>
      <c r="S625" s="271"/>
      <c r="U625" s="253"/>
    </row>
    <row r="626" spans="1:21" ht="12.75">
      <c r="A626" s="116">
        <f t="shared" si="42"/>
        <v>620</v>
      </c>
      <c r="B626" s="9" t="s">
        <v>1301</v>
      </c>
      <c r="C626" s="9">
        <v>10102</v>
      </c>
      <c r="D626" s="122"/>
      <c r="E626" s="115"/>
      <c r="F626" s="115"/>
      <c r="G626" s="115"/>
      <c r="H626" s="115"/>
      <c r="I626" s="115"/>
      <c r="J626" s="115"/>
      <c r="K626" s="115"/>
      <c r="L626" s="115"/>
      <c r="M626" s="115"/>
      <c r="N626" s="119"/>
      <c r="O626" s="119"/>
      <c r="P626" s="119"/>
      <c r="Q626" s="115">
        <f t="shared" si="43"/>
        <v>0</v>
      </c>
      <c r="R626" s="258" t="s">
        <v>300</v>
      </c>
      <c r="S626" s="271"/>
      <c r="U626" s="253"/>
    </row>
    <row r="627" spans="1:21" ht="12.75">
      <c r="A627" s="116">
        <f t="shared" si="42"/>
        <v>621</v>
      </c>
      <c r="B627" s="9" t="s">
        <v>1302</v>
      </c>
      <c r="C627" s="9">
        <v>10103</v>
      </c>
      <c r="D627" s="122"/>
      <c r="E627" s="115"/>
      <c r="F627" s="115"/>
      <c r="G627" s="115"/>
      <c r="H627" s="115"/>
      <c r="I627" s="115"/>
      <c r="J627" s="115"/>
      <c r="K627" s="115"/>
      <c r="L627" s="115"/>
      <c r="M627" s="115"/>
      <c r="N627" s="119"/>
      <c r="O627" s="119"/>
      <c r="P627" s="119"/>
      <c r="Q627" s="115">
        <f t="shared" si="43"/>
        <v>0</v>
      </c>
      <c r="R627" s="258" t="s">
        <v>300</v>
      </c>
      <c r="S627" s="271"/>
      <c r="U627" s="253"/>
    </row>
    <row r="628" spans="1:21" ht="12.75">
      <c r="A628" s="116">
        <f t="shared" si="42"/>
        <v>622</v>
      </c>
      <c r="B628" s="9" t="s">
        <v>1303</v>
      </c>
      <c r="C628" s="12">
        <v>10104</v>
      </c>
      <c r="D628" s="122"/>
      <c r="E628" s="115"/>
      <c r="F628" s="115"/>
      <c r="G628" s="115"/>
      <c r="H628" s="115"/>
      <c r="I628" s="115"/>
      <c r="J628" s="115"/>
      <c r="K628" s="115"/>
      <c r="L628" s="115"/>
      <c r="M628" s="115"/>
      <c r="N628" s="119"/>
      <c r="O628" s="119"/>
      <c r="P628" s="119"/>
      <c r="Q628" s="115">
        <f t="shared" si="43"/>
        <v>0</v>
      </c>
      <c r="R628" s="258" t="s">
        <v>300</v>
      </c>
      <c r="S628" s="271"/>
      <c r="U628" s="253"/>
    </row>
    <row r="629" spans="1:21" ht="12.75">
      <c r="A629" s="116">
        <f t="shared" si="42"/>
        <v>623</v>
      </c>
      <c r="B629" s="9" t="s">
        <v>1304</v>
      </c>
      <c r="C629" s="9">
        <v>10105</v>
      </c>
      <c r="D629" s="122"/>
      <c r="E629" s="115"/>
      <c r="F629" s="115"/>
      <c r="G629" s="115"/>
      <c r="H629" s="115"/>
      <c r="I629" s="115"/>
      <c r="J629" s="115"/>
      <c r="K629" s="115"/>
      <c r="L629" s="115"/>
      <c r="M629" s="115"/>
      <c r="N629" s="119"/>
      <c r="O629" s="119"/>
      <c r="P629" s="119"/>
      <c r="Q629" s="115">
        <f t="shared" si="43"/>
        <v>0</v>
      </c>
      <c r="R629" s="258" t="s">
        <v>300</v>
      </c>
      <c r="S629" s="271"/>
      <c r="U629" s="253"/>
    </row>
    <row r="630" spans="1:21" ht="12.75">
      <c r="A630" s="116">
        <f t="shared" si="42"/>
        <v>624</v>
      </c>
      <c r="B630" s="9" t="s">
        <v>1305</v>
      </c>
      <c r="C630" s="9">
        <v>10106</v>
      </c>
      <c r="D630" s="122"/>
      <c r="E630" s="115"/>
      <c r="F630" s="115"/>
      <c r="G630" s="115"/>
      <c r="H630" s="115"/>
      <c r="I630" s="115"/>
      <c r="J630" s="115"/>
      <c r="K630" s="115"/>
      <c r="L630" s="115"/>
      <c r="M630" s="115"/>
      <c r="N630" s="119"/>
      <c r="O630" s="119"/>
      <c r="P630" s="119"/>
      <c r="Q630" s="115">
        <f t="shared" si="43"/>
        <v>0</v>
      </c>
      <c r="R630" s="258" t="s">
        <v>300</v>
      </c>
      <c r="S630" s="271"/>
      <c r="U630" s="253"/>
    </row>
    <row r="631" spans="1:21" ht="12.75">
      <c r="A631" s="116">
        <f t="shared" si="42"/>
        <v>625</v>
      </c>
      <c r="B631" s="9" t="s">
        <v>1306</v>
      </c>
      <c r="C631" s="9">
        <v>10107</v>
      </c>
      <c r="D631" s="122"/>
      <c r="E631" s="115"/>
      <c r="F631" s="115"/>
      <c r="G631" s="115"/>
      <c r="H631" s="115"/>
      <c r="I631" s="115"/>
      <c r="J631" s="115"/>
      <c r="K631" s="115"/>
      <c r="L631" s="115"/>
      <c r="M631" s="115"/>
      <c r="N631" s="119"/>
      <c r="O631" s="119"/>
      <c r="P631" s="119"/>
      <c r="Q631" s="115">
        <f t="shared" si="43"/>
        <v>0</v>
      </c>
      <c r="R631" s="258" t="s">
        <v>300</v>
      </c>
      <c r="S631" s="271"/>
      <c r="U631" s="253"/>
    </row>
    <row r="632" spans="1:21" ht="12.75">
      <c r="A632" s="116">
        <f t="shared" si="42"/>
        <v>626</v>
      </c>
      <c r="B632" s="9" t="s">
        <v>1307</v>
      </c>
      <c r="C632" s="9">
        <v>10108</v>
      </c>
      <c r="D632" s="122"/>
      <c r="E632" s="115"/>
      <c r="F632" s="115"/>
      <c r="G632" s="115"/>
      <c r="H632" s="115"/>
      <c r="I632" s="115"/>
      <c r="J632" s="115"/>
      <c r="K632" s="115"/>
      <c r="L632" s="115"/>
      <c r="M632" s="115"/>
      <c r="N632" s="119"/>
      <c r="O632" s="119"/>
      <c r="P632" s="119"/>
      <c r="Q632" s="115">
        <f t="shared" si="43"/>
        <v>0</v>
      </c>
      <c r="R632" s="258" t="s">
        <v>300</v>
      </c>
      <c r="S632" s="271"/>
      <c r="U632" s="253"/>
    </row>
    <row r="633" spans="1:21" ht="12.75">
      <c r="A633" s="116">
        <f t="shared" si="42"/>
        <v>627</v>
      </c>
      <c r="B633" s="9" t="s">
        <v>1308</v>
      </c>
      <c r="C633" s="9">
        <v>10109</v>
      </c>
      <c r="D633" s="122"/>
      <c r="E633" s="115"/>
      <c r="F633" s="115"/>
      <c r="G633" s="115"/>
      <c r="H633" s="115"/>
      <c r="I633" s="115"/>
      <c r="J633" s="115"/>
      <c r="K633" s="115"/>
      <c r="L633" s="115"/>
      <c r="M633" s="115"/>
      <c r="N633" s="119"/>
      <c r="O633" s="119"/>
      <c r="P633" s="119"/>
      <c r="Q633" s="115">
        <f t="shared" si="43"/>
        <v>0</v>
      </c>
      <c r="R633" s="258" t="s">
        <v>300</v>
      </c>
      <c r="S633" s="271"/>
      <c r="U633" s="253"/>
    </row>
    <row r="634" spans="1:21" ht="12.75">
      <c r="A634" s="116">
        <f t="shared" si="42"/>
        <v>628</v>
      </c>
      <c r="B634" s="9" t="s">
        <v>1309</v>
      </c>
      <c r="C634" s="9">
        <v>10110</v>
      </c>
      <c r="D634" s="122"/>
      <c r="E634" s="115"/>
      <c r="F634" s="115"/>
      <c r="G634" s="115"/>
      <c r="H634" s="115"/>
      <c r="I634" s="115"/>
      <c r="J634" s="115"/>
      <c r="K634" s="115"/>
      <c r="L634" s="115"/>
      <c r="M634" s="115"/>
      <c r="N634" s="119"/>
      <c r="O634" s="119"/>
      <c r="P634" s="119"/>
      <c r="Q634" s="115">
        <f t="shared" si="43"/>
        <v>0</v>
      </c>
      <c r="R634" s="258" t="s">
        <v>300</v>
      </c>
      <c r="S634" s="271"/>
      <c r="U634" s="253"/>
    </row>
    <row r="635" spans="1:21" ht="12.75">
      <c r="A635" s="116">
        <f t="shared" si="42"/>
        <v>629</v>
      </c>
      <c r="B635" s="9" t="s">
        <v>1310</v>
      </c>
      <c r="C635" s="12">
        <v>10111</v>
      </c>
      <c r="D635" s="122"/>
      <c r="E635" s="115"/>
      <c r="F635" s="115"/>
      <c r="G635" s="115"/>
      <c r="H635" s="115"/>
      <c r="I635" s="115"/>
      <c r="J635" s="115"/>
      <c r="K635" s="115"/>
      <c r="L635" s="115"/>
      <c r="M635" s="115"/>
      <c r="N635" s="119"/>
      <c r="O635" s="119"/>
      <c r="P635" s="119"/>
      <c r="Q635" s="115">
        <f t="shared" si="43"/>
        <v>0</v>
      </c>
      <c r="R635" s="258" t="s">
        <v>300</v>
      </c>
      <c r="S635" s="271"/>
      <c r="U635" s="253"/>
    </row>
    <row r="636" spans="1:21" ht="12.75">
      <c r="A636" s="116">
        <f t="shared" si="42"/>
        <v>630</v>
      </c>
      <c r="B636" s="9" t="s">
        <v>1311</v>
      </c>
      <c r="C636" s="9">
        <v>10112</v>
      </c>
      <c r="D636" s="122"/>
      <c r="E636" s="115"/>
      <c r="F636" s="115"/>
      <c r="G636" s="115"/>
      <c r="H636" s="115"/>
      <c r="I636" s="115"/>
      <c r="J636" s="115"/>
      <c r="K636" s="115"/>
      <c r="L636" s="115"/>
      <c r="M636" s="115"/>
      <c r="N636" s="119"/>
      <c r="O636" s="119"/>
      <c r="P636" s="119"/>
      <c r="Q636" s="115">
        <f t="shared" si="43"/>
        <v>0</v>
      </c>
      <c r="R636" s="258" t="s">
        <v>300</v>
      </c>
      <c r="S636" s="271"/>
      <c r="U636" s="253"/>
    </row>
    <row r="637" spans="1:21" ht="12.75">
      <c r="A637" s="116">
        <f t="shared" si="42"/>
        <v>631</v>
      </c>
      <c r="B637" s="9" t="s">
        <v>1312</v>
      </c>
      <c r="C637" s="9">
        <v>10113</v>
      </c>
      <c r="D637" s="122"/>
      <c r="E637" s="115"/>
      <c r="F637" s="115"/>
      <c r="G637" s="115"/>
      <c r="H637" s="115"/>
      <c r="I637" s="115"/>
      <c r="J637" s="115"/>
      <c r="K637" s="115"/>
      <c r="L637" s="115"/>
      <c r="M637" s="115"/>
      <c r="N637" s="119"/>
      <c r="O637" s="119"/>
      <c r="P637" s="119"/>
      <c r="Q637" s="115">
        <f t="shared" si="43"/>
        <v>0</v>
      </c>
      <c r="R637" s="258" t="s">
        <v>300</v>
      </c>
      <c r="S637" s="271"/>
      <c r="U637" s="253"/>
    </row>
    <row r="638" spans="1:21" ht="12.75">
      <c r="A638" s="116">
        <f t="shared" si="42"/>
        <v>632</v>
      </c>
      <c r="B638" s="9" t="s">
        <v>1313</v>
      </c>
      <c r="C638" s="9">
        <v>10114</v>
      </c>
      <c r="D638" s="122"/>
      <c r="E638" s="115"/>
      <c r="F638" s="115"/>
      <c r="G638" s="115"/>
      <c r="H638" s="115"/>
      <c r="I638" s="115"/>
      <c r="J638" s="115"/>
      <c r="K638" s="115"/>
      <c r="L638" s="115"/>
      <c r="M638" s="115"/>
      <c r="N638" s="119"/>
      <c r="O638" s="119"/>
      <c r="P638" s="119"/>
      <c r="Q638" s="115">
        <f t="shared" si="43"/>
        <v>0</v>
      </c>
      <c r="R638" s="258" t="s">
        <v>300</v>
      </c>
      <c r="S638" s="271"/>
      <c r="U638" s="253"/>
    </row>
    <row r="639" spans="1:21" ht="12.75">
      <c r="A639" s="116">
        <f t="shared" si="42"/>
        <v>633</v>
      </c>
      <c r="B639" s="9" t="s">
        <v>1314</v>
      </c>
      <c r="C639" s="12">
        <v>10115</v>
      </c>
      <c r="D639" s="122"/>
      <c r="E639" s="115"/>
      <c r="F639" s="115"/>
      <c r="G639" s="115"/>
      <c r="H639" s="115"/>
      <c r="I639" s="115"/>
      <c r="J639" s="115"/>
      <c r="K639" s="115"/>
      <c r="L639" s="115"/>
      <c r="M639" s="115"/>
      <c r="N639" s="119"/>
      <c r="O639" s="119"/>
      <c r="P639" s="119"/>
      <c r="Q639" s="115">
        <f t="shared" si="43"/>
        <v>0</v>
      </c>
      <c r="R639" s="258" t="s">
        <v>300</v>
      </c>
      <c r="S639" s="271"/>
      <c r="U639" s="253"/>
    </row>
    <row r="640" spans="1:21" ht="12.75">
      <c r="A640" s="116">
        <f t="shared" si="42"/>
        <v>634</v>
      </c>
      <c r="B640" s="9" t="s">
        <v>1315</v>
      </c>
      <c r="C640" s="9">
        <v>10116</v>
      </c>
      <c r="D640" s="122"/>
      <c r="E640" s="115"/>
      <c r="F640" s="115"/>
      <c r="G640" s="115"/>
      <c r="H640" s="115"/>
      <c r="I640" s="115"/>
      <c r="J640" s="115"/>
      <c r="K640" s="115"/>
      <c r="L640" s="115"/>
      <c r="M640" s="115"/>
      <c r="N640" s="119"/>
      <c r="O640" s="119"/>
      <c r="P640" s="119"/>
      <c r="Q640" s="115">
        <f t="shared" si="43"/>
        <v>0</v>
      </c>
      <c r="R640" s="258" t="s">
        <v>300</v>
      </c>
      <c r="S640" s="271"/>
      <c r="U640" s="253"/>
    </row>
    <row r="641" spans="1:21" ht="12.75">
      <c r="A641" s="116">
        <f t="shared" si="42"/>
        <v>635</v>
      </c>
      <c r="B641" s="9" t="s">
        <v>1316</v>
      </c>
      <c r="C641" s="9">
        <v>10117</v>
      </c>
      <c r="D641" s="122"/>
      <c r="E641" s="115"/>
      <c r="F641" s="115"/>
      <c r="G641" s="115"/>
      <c r="H641" s="115"/>
      <c r="I641" s="115"/>
      <c r="J641" s="115"/>
      <c r="K641" s="115"/>
      <c r="L641" s="115"/>
      <c r="M641" s="115"/>
      <c r="N641" s="119"/>
      <c r="O641" s="119"/>
      <c r="P641" s="119"/>
      <c r="Q641" s="115">
        <f t="shared" si="43"/>
        <v>0</v>
      </c>
      <c r="R641" s="258" t="s">
        <v>300</v>
      </c>
      <c r="S641" s="271"/>
      <c r="U641" s="253"/>
    </row>
    <row r="642" spans="1:21" ht="12.75">
      <c r="A642" s="116">
        <f t="shared" si="42"/>
        <v>636</v>
      </c>
      <c r="B642" s="9" t="s">
        <v>1317</v>
      </c>
      <c r="C642" s="9">
        <v>10118</v>
      </c>
      <c r="D642" s="122"/>
      <c r="E642" s="115"/>
      <c r="F642" s="115"/>
      <c r="G642" s="115"/>
      <c r="H642" s="115"/>
      <c r="I642" s="115"/>
      <c r="J642" s="115"/>
      <c r="K642" s="115"/>
      <c r="L642" s="115"/>
      <c r="M642" s="115"/>
      <c r="N642" s="119"/>
      <c r="O642" s="119"/>
      <c r="P642" s="119"/>
      <c r="Q642" s="115">
        <f t="shared" si="43"/>
        <v>0</v>
      </c>
      <c r="R642" s="258" t="s">
        <v>300</v>
      </c>
      <c r="S642" s="271"/>
      <c r="U642" s="253"/>
    </row>
    <row r="643" spans="1:21" ht="12.75">
      <c r="A643" s="116">
        <f t="shared" si="42"/>
        <v>637</v>
      </c>
      <c r="B643" s="9" t="s">
        <v>1318</v>
      </c>
      <c r="C643" s="9">
        <v>10119</v>
      </c>
      <c r="D643" s="122"/>
      <c r="E643" s="115"/>
      <c r="F643" s="115"/>
      <c r="G643" s="115"/>
      <c r="H643" s="115"/>
      <c r="I643" s="115"/>
      <c r="J643" s="115"/>
      <c r="K643" s="115"/>
      <c r="L643" s="115"/>
      <c r="M643" s="115"/>
      <c r="N643" s="119"/>
      <c r="O643" s="119"/>
      <c r="P643" s="119"/>
      <c r="Q643" s="115">
        <f t="shared" si="43"/>
        <v>0</v>
      </c>
      <c r="R643" s="258" t="s">
        <v>300</v>
      </c>
      <c r="S643" s="271"/>
      <c r="U643" s="253"/>
    </row>
    <row r="644" spans="1:21" ht="12.75">
      <c r="A644" s="116">
        <f t="shared" si="42"/>
        <v>638</v>
      </c>
      <c r="B644" s="9" t="s">
        <v>1319</v>
      </c>
      <c r="C644" s="9">
        <v>10120</v>
      </c>
      <c r="D644" s="122"/>
      <c r="E644" s="115"/>
      <c r="F644" s="115"/>
      <c r="G644" s="115"/>
      <c r="H644" s="115"/>
      <c r="I644" s="115"/>
      <c r="J644" s="115"/>
      <c r="K644" s="115"/>
      <c r="L644" s="115"/>
      <c r="M644" s="115"/>
      <c r="N644" s="119"/>
      <c r="O644" s="119"/>
      <c r="P644" s="119"/>
      <c r="Q644" s="115">
        <f t="shared" si="43"/>
        <v>0</v>
      </c>
      <c r="R644" s="258" t="s">
        <v>300</v>
      </c>
      <c r="S644" s="271"/>
      <c r="U644" s="253"/>
    </row>
    <row r="645" spans="1:21" ht="12.75">
      <c r="A645" s="116">
        <f t="shared" si="42"/>
        <v>639</v>
      </c>
      <c r="B645" s="9" t="s">
        <v>1320</v>
      </c>
      <c r="C645" s="9">
        <v>10121</v>
      </c>
      <c r="D645" s="122"/>
      <c r="E645" s="115"/>
      <c r="F645" s="115"/>
      <c r="G645" s="115"/>
      <c r="H645" s="115"/>
      <c r="I645" s="115"/>
      <c r="J645" s="115"/>
      <c r="K645" s="115"/>
      <c r="L645" s="115"/>
      <c r="M645" s="115"/>
      <c r="N645" s="119"/>
      <c r="O645" s="119"/>
      <c r="P645" s="119"/>
      <c r="Q645" s="115">
        <f t="shared" si="43"/>
        <v>0</v>
      </c>
      <c r="R645" s="258" t="s">
        <v>300</v>
      </c>
      <c r="S645" s="271"/>
      <c r="U645" s="253"/>
    </row>
    <row r="646" spans="1:21" ht="12.75">
      <c r="A646" s="116">
        <f t="shared" si="42"/>
        <v>640</v>
      </c>
      <c r="B646" s="9" t="s">
        <v>1321</v>
      </c>
      <c r="C646" s="12">
        <v>10122</v>
      </c>
      <c r="D646" s="122"/>
      <c r="E646" s="115"/>
      <c r="F646" s="115"/>
      <c r="G646" s="115"/>
      <c r="H646" s="115"/>
      <c r="I646" s="115"/>
      <c r="J646" s="115"/>
      <c r="K646" s="115"/>
      <c r="L646" s="115"/>
      <c r="M646" s="115"/>
      <c r="N646" s="119"/>
      <c r="O646" s="119"/>
      <c r="P646" s="119"/>
      <c r="Q646" s="115">
        <f t="shared" si="43"/>
        <v>0</v>
      </c>
      <c r="R646" s="258" t="s">
        <v>300</v>
      </c>
      <c r="S646" s="271"/>
      <c r="U646" s="253"/>
    </row>
    <row r="647" spans="1:21" ht="12.75">
      <c r="A647" s="116">
        <f t="shared" si="42"/>
        <v>641</v>
      </c>
      <c r="B647" s="9" t="s">
        <v>1322</v>
      </c>
      <c r="C647" s="9">
        <v>10123</v>
      </c>
      <c r="D647" s="122"/>
      <c r="E647" s="115"/>
      <c r="F647" s="115"/>
      <c r="G647" s="115"/>
      <c r="H647" s="115"/>
      <c r="I647" s="115"/>
      <c r="J647" s="115"/>
      <c r="K647" s="115"/>
      <c r="L647" s="115"/>
      <c r="M647" s="115"/>
      <c r="N647" s="119"/>
      <c r="O647" s="119"/>
      <c r="P647" s="119"/>
      <c r="Q647" s="115">
        <f t="shared" si="43"/>
        <v>0</v>
      </c>
      <c r="R647" s="258" t="s">
        <v>300</v>
      </c>
      <c r="S647" s="271"/>
      <c r="U647" s="253"/>
    </row>
    <row r="648" spans="1:21" ht="12.75">
      <c r="A648" s="116">
        <f t="shared" si="42"/>
        <v>642</v>
      </c>
      <c r="B648" s="9" t="s">
        <v>1323</v>
      </c>
      <c r="C648" s="9">
        <v>10124</v>
      </c>
      <c r="D648" s="122"/>
      <c r="E648" s="115"/>
      <c r="F648" s="115"/>
      <c r="G648" s="115"/>
      <c r="H648" s="115"/>
      <c r="I648" s="115"/>
      <c r="J648" s="115"/>
      <c r="K648" s="115"/>
      <c r="L648" s="115"/>
      <c r="M648" s="115"/>
      <c r="N648" s="119"/>
      <c r="O648" s="119"/>
      <c r="P648" s="119"/>
      <c r="Q648" s="115">
        <f t="shared" si="43"/>
        <v>0</v>
      </c>
      <c r="R648" s="258" t="s">
        <v>300</v>
      </c>
      <c r="S648" s="271"/>
      <c r="U648" s="253"/>
    </row>
    <row r="649" spans="1:21" ht="12.75">
      <c r="A649" s="116">
        <f aca="true" t="shared" si="44" ref="A649:A712">A648+1</f>
        <v>643</v>
      </c>
      <c r="B649" s="9" t="s">
        <v>1324</v>
      </c>
      <c r="C649" s="9">
        <v>10125</v>
      </c>
      <c r="D649" s="122"/>
      <c r="E649" s="115"/>
      <c r="F649" s="115"/>
      <c r="G649" s="115"/>
      <c r="H649" s="115"/>
      <c r="I649" s="115"/>
      <c r="J649" s="115"/>
      <c r="K649" s="115"/>
      <c r="L649" s="115"/>
      <c r="M649" s="115"/>
      <c r="N649" s="119"/>
      <c r="O649" s="119"/>
      <c r="P649" s="119"/>
      <c r="Q649" s="115">
        <f t="shared" si="43"/>
        <v>0</v>
      </c>
      <c r="R649" s="258" t="s">
        <v>300</v>
      </c>
      <c r="S649" s="271"/>
      <c r="U649" s="253"/>
    </row>
    <row r="650" spans="1:21" ht="12.75">
      <c r="A650" s="116">
        <f t="shared" si="44"/>
        <v>644</v>
      </c>
      <c r="B650" s="9" t="s">
        <v>1325</v>
      </c>
      <c r="C650" s="12">
        <v>10126</v>
      </c>
      <c r="D650" s="122"/>
      <c r="E650" s="115"/>
      <c r="F650" s="115"/>
      <c r="G650" s="115"/>
      <c r="H650" s="115"/>
      <c r="I650" s="115"/>
      <c r="J650" s="115"/>
      <c r="K650" s="115"/>
      <c r="L650" s="115"/>
      <c r="M650" s="115"/>
      <c r="N650" s="119"/>
      <c r="O650" s="119"/>
      <c r="P650" s="119"/>
      <c r="Q650" s="115">
        <f t="shared" si="43"/>
        <v>0</v>
      </c>
      <c r="R650" s="258" t="s">
        <v>300</v>
      </c>
      <c r="S650" s="271"/>
      <c r="U650" s="253"/>
    </row>
    <row r="651" spans="1:21" ht="12.75">
      <c r="A651" s="116">
        <f t="shared" si="44"/>
        <v>645</v>
      </c>
      <c r="B651" s="9" t="s">
        <v>1326</v>
      </c>
      <c r="C651" s="9">
        <v>10127</v>
      </c>
      <c r="D651" s="122"/>
      <c r="E651" s="115"/>
      <c r="F651" s="115"/>
      <c r="G651" s="115"/>
      <c r="H651" s="115"/>
      <c r="I651" s="115"/>
      <c r="J651" s="115"/>
      <c r="K651" s="115"/>
      <c r="L651" s="115"/>
      <c r="M651" s="115"/>
      <c r="N651" s="119"/>
      <c r="O651" s="119"/>
      <c r="P651" s="119"/>
      <c r="Q651" s="115">
        <f t="shared" si="43"/>
        <v>0</v>
      </c>
      <c r="R651" s="258" t="s">
        <v>300</v>
      </c>
      <c r="S651" s="271"/>
      <c r="U651" s="253"/>
    </row>
    <row r="652" spans="1:21" ht="12.75">
      <c r="A652" s="116">
        <f t="shared" si="44"/>
        <v>646</v>
      </c>
      <c r="B652" s="9" t="s">
        <v>1327</v>
      </c>
      <c r="C652" s="9">
        <v>10128</v>
      </c>
      <c r="D652" s="122"/>
      <c r="E652" s="115"/>
      <c r="F652" s="115"/>
      <c r="G652" s="115"/>
      <c r="H652" s="115"/>
      <c r="I652" s="115"/>
      <c r="J652" s="115"/>
      <c r="K652" s="115"/>
      <c r="L652" s="115"/>
      <c r="M652" s="115"/>
      <c r="N652" s="119"/>
      <c r="O652" s="119"/>
      <c r="P652" s="119"/>
      <c r="Q652" s="115">
        <f t="shared" si="43"/>
        <v>0</v>
      </c>
      <c r="R652" s="258" t="s">
        <v>300</v>
      </c>
      <c r="S652" s="271"/>
      <c r="U652" s="253"/>
    </row>
    <row r="653" spans="1:21" ht="12.75">
      <c r="A653" s="116">
        <f t="shared" si="44"/>
        <v>647</v>
      </c>
      <c r="B653" s="9" t="s">
        <v>1328</v>
      </c>
      <c r="C653" s="9">
        <v>10129</v>
      </c>
      <c r="D653" s="122"/>
      <c r="E653" s="115"/>
      <c r="F653" s="115"/>
      <c r="G653" s="115"/>
      <c r="H653" s="115"/>
      <c r="I653" s="115"/>
      <c r="J653" s="115"/>
      <c r="K653" s="115"/>
      <c r="L653" s="115"/>
      <c r="M653" s="115"/>
      <c r="N653" s="119"/>
      <c r="O653" s="119"/>
      <c r="P653" s="119"/>
      <c r="Q653" s="115">
        <f t="shared" si="43"/>
        <v>0</v>
      </c>
      <c r="R653" s="258" t="s">
        <v>300</v>
      </c>
      <c r="S653" s="271"/>
      <c r="U653" s="253"/>
    </row>
    <row r="654" spans="1:21" ht="12.75">
      <c r="A654" s="116">
        <f t="shared" si="44"/>
        <v>648</v>
      </c>
      <c r="B654" s="9" t="s">
        <v>1329</v>
      </c>
      <c r="C654" s="9">
        <v>10130</v>
      </c>
      <c r="D654" s="122"/>
      <c r="E654" s="115"/>
      <c r="F654" s="115"/>
      <c r="G654" s="115"/>
      <c r="H654" s="115"/>
      <c r="I654" s="115"/>
      <c r="J654" s="115"/>
      <c r="K654" s="115"/>
      <c r="L654" s="115"/>
      <c r="M654" s="115"/>
      <c r="N654" s="119"/>
      <c r="O654" s="119"/>
      <c r="P654" s="119"/>
      <c r="Q654" s="115">
        <f t="shared" si="43"/>
        <v>0</v>
      </c>
      <c r="R654" s="258" t="s">
        <v>300</v>
      </c>
      <c r="S654" s="271"/>
      <c r="U654" s="253"/>
    </row>
    <row r="655" spans="1:21" ht="12.75">
      <c r="A655" s="116">
        <f t="shared" si="44"/>
        <v>649</v>
      </c>
      <c r="B655" s="9" t="s">
        <v>1330</v>
      </c>
      <c r="C655" s="9">
        <v>10131</v>
      </c>
      <c r="D655" s="122"/>
      <c r="E655" s="115"/>
      <c r="F655" s="115"/>
      <c r="G655" s="115"/>
      <c r="H655" s="115"/>
      <c r="I655" s="115"/>
      <c r="J655" s="115"/>
      <c r="K655" s="115"/>
      <c r="L655" s="115"/>
      <c r="M655" s="115"/>
      <c r="N655" s="119"/>
      <c r="O655" s="119"/>
      <c r="P655" s="119"/>
      <c r="Q655" s="115">
        <f t="shared" si="43"/>
        <v>0</v>
      </c>
      <c r="R655" s="258" t="s">
        <v>300</v>
      </c>
      <c r="S655" s="271"/>
      <c r="U655" s="253"/>
    </row>
    <row r="656" spans="1:21" ht="12.75">
      <c r="A656" s="116">
        <f t="shared" si="44"/>
        <v>650</v>
      </c>
      <c r="B656" s="9" t="s">
        <v>1331</v>
      </c>
      <c r="C656" s="9">
        <v>10132</v>
      </c>
      <c r="D656" s="122"/>
      <c r="E656" s="115"/>
      <c r="F656" s="115"/>
      <c r="G656" s="115"/>
      <c r="H656" s="115"/>
      <c r="I656" s="115"/>
      <c r="J656" s="115"/>
      <c r="K656" s="115"/>
      <c r="L656" s="115"/>
      <c r="M656" s="115"/>
      <c r="N656" s="119"/>
      <c r="O656" s="119"/>
      <c r="P656" s="119"/>
      <c r="Q656" s="115">
        <f t="shared" si="43"/>
        <v>0</v>
      </c>
      <c r="R656" s="258" t="s">
        <v>300</v>
      </c>
      <c r="S656" s="271"/>
      <c r="U656" s="253"/>
    </row>
    <row r="657" spans="1:21" ht="12.75">
      <c r="A657" s="116">
        <f t="shared" si="44"/>
        <v>651</v>
      </c>
      <c r="B657" s="9" t="s">
        <v>1332</v>
      </c>
      <c r="C657" s="12">
        <v>10133</v>
      </c>
      <c r="D657" s="122"/>
      <c r="E657" s="115"/>
      <c r="F657" s="115"/>
      <c r="G657" s="115"/>
      <c r="H657" s="115"/>
      <c r="I657" s="115"/>
      <c r="J657" s="115"/>
      <c r="K657" s="115"/>
      <c r="L657" s="115"/>
      <c r="M657" s="115"/>
      <c r="N657" s="119"/>
      <c r="O657" s="119"/>
      <c r="P657" s="119"/>
      <c r="Q657" s="115">
        <f t="shared" si="43"/>
        <v>0</v>
      </c>
      <c r="R657" s="258" t="s">
        <v>300</v>
      </c>
      <c r="S657" s="271"/>
      <c r="U657" s="253"/>
    </row>
    <row r="658" spans="1:21" ht="12.75">
      <c r="A658" s="116">
        <f t="shared" si="44"/>
        <v>652</v>
      </c>
      <c r="B658" s="9" t="s">
        <v>1333</v>
      </c>
      <c r="C658" s="9">
        <v>10134</v>
      </c>
      <c r="D658" s="122"/>
      <c r="E658" s="115"/>
      <c r="F658" s="115"/>
      <c r="G658" s="115"/>
      <c r="H658" s="115"/>
      <c r="I658" s="115"/>
      <c r="J658" s="115"/>
      <c r="K658" s="115"/>
      <c r="L658" s="115"/>
      <c r="M658" s="115"/>
      <c r="N658" s="119"/>
      <c r="O658" s="119"/>
      <c r="P658" s="119"/>
      <c r="Q658" s="115">
        <f t="shared" si="43"/>
        <v>0</v>
      </c>
      <c r="R658" s="258" t="s">
        <v>300</v>
      </c>
      <c r="S658" s="271"/>
      <c r="U658" s="253"/>
    </row>
    <row r="659" spans="1:21" ht="12.75">
      <c r="A659" s="116">
        <f t="shared" si="44"/>
        <v>653</v>
      </c>
      <c r="B659" s="9" t="s">
        <v>1334</v>
      </c>
      <c r="C659" s="9">
        <v>10135</v>
      </c>
      <c r="D659" s="122"/>
      <c r="E659" s="115"/>
      <c r="F659" s="115"/>
      <c r="G659" s="115"/>
      <c r="H659" s="115"/>
      <c r="I659" s="115"/>
      <c r="J659" s="115"/>
      <c r="K659" s="115"/>
      <c r="L659" s="115"/>
      <c r="M659" s="115"/>
      <c r="N659" s="119"/>
      <c r="O659" s="119"/>
      <c r="P659" s="119"/>
      <c r="Q659" s="115">
        <f t="shared" si="43"/>
        <v>0</v>
      </c>
      <c r="R659" s="258" t="s">
        <v>300</v>
      </c>
      <c r="S659" s="271"/>
      <c r="U659" s="253"/>
    </row>
    <row r="660" spans="1:21" ht="12.75">
      <c r="A660" s="116">
        <f t="shared" si="44"/>
        <v>654</v>
      </c>
      <c r="B660" s="9" t="s">
        <v>1335</v>
      </c>
      <c r="C660" s="9">
        <v>10136</v>
      </c>
      <c r="D660" s="122"/>
      <c r="E660" s="115"/>
      <c r="F660" s="115"/>
      <c r="G660" s="115"/>
      <c r="H660" s="115"/>
      <c r="I660" s="115"/>
      <c r="J660" s="115"/>
      <c r="K660" s="115"/>
      <c r="L660" s="115"/>
      <c r="M660" s="115"/>
      <c r="N660" s="119"/>
      <c r="O660" s="119"/>
      <c r="P660" s="119"/>
      <c r="Q660" s="115">
        <f t="shared" si="43"/>
        <v>0</v>
      </c>
      <c r="R660" s="258" t="s">
        <v>300</v>
      </c>
      <c r="S660" s="271"/>
      <c r="U660" s="253"/>
    </row>
    <row r="661" spans="1:21" ht="12.75">
      <c r="A661" s="116">
        <f t="shared" si="44"/>
        <v>655</v>
      </c>
      <c r="B661" s="9" t="s">
        <v>1336</v>
      </c>
      <c r="C661" s="12">
        <v>10137</v>
      </c>
      <c r="D661" s="122"/>
      <c r="E661" s="115"/>
      <c r="F661" s="115"/>
      <c r="G661" s="115"/>
      <c r="H661" s="115"/>
      <c r="I661" s="115"/>
      <c r="J661" s="115"/>
      <c r="K661" s="115"/>
      <c r="L661" s="115"/>
      <c r="M661" s="115"/>
      <c r="N661" s="119"/>
      <c r="O661" s="119"/>
      <c r="P661" s="119"/>
      <c r="Q661" s="115">
        <f t="shared" si="43"/>
        <v>0</v>
      </c>
      <c r="R661" s="258" t="s">
        <v>300</v>
      </c>
      <c r="S661" s="271"/>
      <c r="U661" s="253"/>
    </row>
    <row r="662" spans="1:21" ht="12.75">
      <c r="A662" s="116">
        <f t="shared" si="44"/>
        <v>656</v>
      </c>
      <c r="B662" s="9" t="s">
        <v>1337</v>
      </c>
      <c r="C662" s="9">
        <v>10138</v>
      </c>
      <c r="D662" s="122"/>
      <c r="E662" s="115"/>
      <c r="F662" s="115"/>
      <c r="G662" s="115"/>
      <c r="H662" s="115"/>
      <c r="I662" s="115"/>
      <c r="J662" s="115"/>
      <c r="K662" s="115"/>
      <c r="L662" s="115"/>
      <c r="M662" s="115"/>
      <c r="N662" s="119"/>
      <c r="O662" s="119"/>
      <c r="P662" s="119"/>
      <c r="Q662" s="115">
        <f t="shared" si="43"/>
        <v>0</v>
      </c>
      <c r="R662" s="258" t="s">
        <v>300</v>
      </c>
      <c r="S662" s="271"/>
      <c r="U662" s="253"/>
    </row>
    <row r="663" spans="1:21" ht="12.75">
      <c r="A663" s="116">
        <f t="shared" si="44"/>
        <v>657</v>
      </c>
      <c r="B663" s="9" t="s">
        <v>1338</v>
      </c>
      <c r="C663" s="9">
        <v>10139</v>
      </c>
      <c r="D663" s="122"/>
      <c r="E663" s="115"/>
      <c r="F663" s="115"/>
      <c r="G663" s="115"/>
      <c r="H663" s="115"/>
      <c r="I663" s="115"/>
      <c r="J663" s="115"/>
      <c r="K663" s="115"/>
      <c r="L663" s="115"/>
      <c r="M663" s="115"/>
      <c r="N663" s="119"/>
      <c r="O663" s="119"/>
      <c r="P663" s="119"/>
      <c r="Q663" s="115">
        <f t="shared" si="43"/>
        <v>0</v>
      </c>
      <c r="R663" s="258" t="s">
        <v>300</v>
      </c>
      <c r="S663" s="271"/>
      <c r="U663" s="253"/>
    </row>
    <row r="664" spans="1:21" ht="12.75">
      <c r="A664" s="116">
        <f t="shared" si="44"/>
        <v>658</v>
      </c>
      <c r="B664" s="9" t="s">
        <v>1339</v>
      </c>
      <c r="C664" s="9">
        <v>10140</v>
      </c>
      <c r="D664" s="122"/>
      <c r="E664" s="115"/>
      <c r="F664" s="115"/>
      <c r="G664" s="115"/>
      <c r="H664" s="115"/>
      <c r="I664" s="115"/>
      <c r="J664" s="115"/>
      <c r="K664" s="115"/>
      <c r="L664" s="115"/>
      <c r="M664" s="115"/>
      <c r="N664" s="119"/>
      <c r="O664" s="119"/>
      <c r="P664" s="119"/>
      <c r="Q664" s="115">
        <f t="shared" si="43"/>
        <v>0</v>
      </c>
      <c r="R664" s="258" t="s">
        <v>300</v>
      </c>
      <c r="S664" s="271"/>
      <c r="U664" s="253"/>
    </row>
    <row r="665" spans="1:21" ht="12.75">
      <c r="A665" s="116">
        <f t="shared" si="44"/>
        <v>659</v>
      </c>
      <c r="B665" s="9" t="s">
        <v>1340</v>
      </c>
      <c r="C665" s="9">
        <v>10141</v>
      </c>
      <c r="D665" s="122"/>
      <c r="E665" s="115"/>
      <c r="F665" s="115"/>
      <c r="G665" s="115"/>
      <c r="H665" s="115"/>
      <c r="I665" s="115"/>
      <c r="J665" s="115"/>
      <c r="K665" s="115"/>
      <c r="L665" s="115"/>
      <c r="M665" s="115"/>
      <c r="N665" s="119"/>
      <c r="O665" s="119"/>
      <c r="P665" s="119"/>
      <c r="Q665" s="115">
        <f t="shared" si="43"/>
        <v>0</v>
      </c>
      <c r="R665" s="258" t="s">
        <v>300</v>
      </c>
      <c r="S665" s="271"/>
      <c r="U665" s="253"/>
    </row>
    <row r="666" spans="1:21" ht="12.75">
      <c r="A666" s="116">
        <f t="shared" si="44"/>
        <v>660</v>
      </c>
      <c r="B666" s="9" t="s">
        <v>1341</v>
      </c>
      <c r="C666" s="9">
        <v>10142</v>
      </c>
      <c r="D666" s="122"/>
      <c r="E666" s="115"/>
      <c r="F666" s="115"/>
      <c r="G666" s="115"/>
      <c r="H666" s="115"/>
      <c r="I666" s="115"/>
      <c r="J666" s="115"/>
      <c r="K666" s="115"/>
      <c r="L666" s="115"/>
      <c r="M666" s="115"/>
      <c r="N666" s="119"/>
      <c r="O666" s="119"/>
      <c r="P666" s="119"/>
      <c r="Q666" s="115">
        <f t="shared" si="43"/>
        <v>0</v>
      </c>
      <c r="R666" s="258" t="s">
        <v>300</v>
      </c>
      <c r="S666" s="271"/>
      <c r="U666" s="253"/>
    </row>
    <row r="667" spans="1:21" ht="12.75">
      <c r="A667" s="116">
        <f t="shared" si="44"/>
        <v>661</v>
      </c>
      <c r="B667" s="9" t="s">
        <v>1342</v>
      </c>
      <c r="C667" s="9">
        <v>10143</v>
      </c>
      <c r="D667" s="122"/>
      <c r="E667" s="115"/>
      <c r="F667" s="115"/>
      <c r="G667" s="115"/>
      <c r="H667" s="115"/>
      <c r="I667" s="115"/>
      <c r="J667" s="115"/>
      <c r="K667" s="115"/>
      <c r="L667" s="115"/>
      <c r="M667" s="115"/>
      <c r="N667" s="119"/>
      <c r="O667" s="119"/>
      <c r="P667" s="119"/>
      <c r="Q667" s="115">
        <f t="shared" si="43"/>
        <v>0</v>
      </c>
      <c r="R667" s="258" t="s">
        <v>300</v>
      </c>
      <c r="S667" s="271"/>
      <c r="U667" s="253"/>
    </row>
    <row r="668" spans="1:21" ht="12.75">
      <c r="A668" s="116">
        <f t="shared" si="44"/>
        <v>662</v>
      </c>
      <c r="B668" s="9" t="s">
        <v>1343</v>
      </c>
      <c r="C668" s="12">
        <v>10144</v>
      </c>
      <c r="D668" s="122"/>
      <c r="E668" s="115"/>
      <c r="F668" s="115"/>
      <c r="G668" s="115"/>
      <c r="H668" s="115"/>
      <c r="I668" s="115"/>
      <c r="J668" s="115"/>
      <c r="K668" s="115"/>
      <c r="L668" s="115"/>
      <c r="M668" s="115"/>
      <c r="N668" s="119"/>
      <c r="O668" s="119"/>
      <c r="P668" s="119"/>
      <c r="Q668" s="115">
        <f t="shared" si="43"/>
        <v>0</v>
      </c>
      <c r="R668" s="258" t="s">
        <v>300</v>
      </c>
      <c r="S668" s="271"/>
      <c r="U668" s="253"/>
    </row>
    <row r="669" spans="1:21" ht="12.75">
      <c r="A669" s="116">
        <f t="shared" si="44"/>
        <v>663</v>
      </c>
      <c r="B669" s="9" t="s">
        <v>1344</v>
      </c>
      <c r="C669" s="9">
        <v>10145</v>
      </c>
      <c r="D669" s="122"/>
      <c r="E669" s="115"/>
      <c r="F669" s="115"/>
      <c r="G669" s="115"/>
      <c r="H669" s="115"/>
      <c r="I669" s="115"/>
      <c r="J669" s="115"/>
      <c r="K669" s="115"/>
      <c r="L669" s="115"/>
      <c r="M669" s="115"/>
      <c r="N669" s="119"/>
      <c r="O669" s="119"/>
      <c r="P669" s="119"/>
      <c r="Q669" s="115">
        <f t="shared" si="43"/>
        <v>0</v>
      </c>
      <c r="R669" s="258" t="s">
        <v>300</v>
      </c>
      <c r="S669" s="271"/>
      <c r="U669" s="253"/>
    </row>
    <row r="670" spans="1:21" ht="12.75">
      <c r="A670" s="116">
        <f t="shared" si="44"/>
        <v>664</v>
      </c>
      <c r="B670" s="9" t="s">
        <v>1345</v>
      </c>
      <c r="C670" s="9">
        <v>10146</v>
      </c>
      <c r="D670" s="122"/>
      <c r="E670" s="115"/>
      <c r="F670" s="115"/>
      <c r="G670" s="115"/>
      <c r="H670" s="115"/>
      <c r="I670" s="115"/>
      <c r="J670" s="115"/>
      <c r="K670" s="115"/>
      <c r="L670" s="115"/>
      <c r="M670" s="115"/>
      <c r="N670" s="119"/>
      <c r="O670" s="119"/>
      <c r="P670" s="119"/>
      <c r="Q670" s="115">
        <f t="shared" si="43"/>
        <v>0</v>
      </c>
      <c r="R670" s="258" t="s">
        <v>300</v>
      </c>
      <c r="S670" s="271"/>
      <c r="U670" s="253"/>
    </row>
    <row r="671" spans="1:21" ht="12.75">
      <c r="A671" s="116">
        <f t="shared" si="44"/>
        <v>665</v>
      </c>
      <c r="B671" s="9" t="s">
        <v>1346</v>
      </c>
      <c r="C671" s="9">
        <v>10147</v>
      </c>
      <c r="D671" s="122"/>
      <c r="E671" s="115"/>
      <c r="F671" s="115"/>
      <c r="G671" s="115"/>
      <c r="H671" s="115"/>
      <c r="I671" s="115"/>
      <c r="J671" s="115"/>
      <c r="K671" s="115"/>
      <c r="L671" s="115"/>
      <c r="M671" s="115"/>
      <c r="N671" s="119"/>
      <c r="O671" s="119"/>
      <c r="P671" s="119"/>
      <c r="Q671" s="115">
        <f t="shared" si="43"/>
        <v>0</v>
      </c>
      <c r="R671" s="258" t="s">
        <v>300</v>
      </c>
      <c r="S671" s="271"/>
      <c r="U671" s="253"/>
    </row>
    <row r="672" spans="1:21" ht="12.75">
      <c r="A672" s="116">
        <f t="shared" si="44"/>
        <v>666</v>
      </c>
      <c r="B672" s="9" t="s">
        <v>1347</v>
      </c>
      <c r="C672" s="12">
        <v>10148</v>
      </c>
      <c r="D672" s="122"/>
      <c r="E672" s="115"/>
      <c r="F672" s="115"/>
      <c r="G672" s="115"/>
      <c r="H672" s="115"/>
      <c r="I672" s="115"/>
      <c r="J672" s="115"/>
      <c r="K672" s="115"/>
      <c r="L672" s="115"/>
      <c r="M672" s="115"/>
      <c r="N672" s="119"/>
      <c r="O672" s="119"/>
      <c r="P672" s="119"/>
      <c r="Q672" s="115">
        <f t="shared" si="43"/>
        <v>0</v>
      </c>
      <c r="R672" s="258" t="s">
        <v>300</v>
      </c>
      <c r="S672" s="271"/>
      <c r="U672" s="253"/>
    </row>
    <row r="673" spans="1:21" ht="12.75">
      <c r="A673" s="116">
        <f t="shared" si="44"/>
        <v>667</v>
      </c>
      <c r="B673" s="9" t="s">
        <v>1348</v>
      </c>
      <c r="C673" s="9">
        <v>10149</v>
      </c>
      <c r="D673" s="122"/>
      <c r="E673" s="115"/>
      <c r="F673" s="115"/>
      <c r="G673" s="115"/>
      <c r="H673" s="115"/>
      <c r="I673" s="115"/>
      <c r="J673" s="115"/>
      <c r="K673" s="115"/>
      <c r="L673" s="115"/>
      <c r="M673" s="115"/>
      <c r="N673" s="119"/>
      <c r="O673" s="119"/>
      <c r="P673" s="119"/>
      <c r="Q673" s="115">
        <f t="shared" si="43"/>
        <v>0</v>
      </c>
      <c r="R673" s="258" t="s">
        <v>300</v>
      </c>
      <c r="S673" s="271"/>
      <c r="U673" s="253"/>
    </row>
    <row r="674" spans="1:21" ht="12.75">
      <c r="A674" s="116">
        <f t="shared" si="44"/>
        <v>668</v>
      </c>
      <c r="B674" s="9" t="s">
        <v>1349</v>
      </c>
      <c r="C674" s="9">
        <v>10150</v>
      </c>
      <c r="D674" s="122"/>
      <c r="E674" s="115"/>
      <c r="F674" s="115"/>
      <c r="G674" s="115"/>
      <c r="H674" s="115"/>
      <c r="I674" s="115"/>
      <c r="J674" s="115"/>
      <c r="K674" s="115"/>
      <c r="L674" s="115"/>
      <c r="M674" s="115"/>
      <c r="N674" s="119"/>
      <c r="O674" s="119"/>
      <c r="P674" s="119"/>
      <c r="Q674" s="115">
        <f t="shared" si="43"/>
        <v>0</v>
      </c>
      <c r="R674" s="258" t="s">
        <v>300</v>
      </c>
      <c r="S674" s="271"/>
      <c r="U674" s="253"/>
    </row>
    <row r="675" spans="1:21" ht="12.75">
      <c r="A675" s="116">
        <f t="shared" si="44"/>
        <v>669</v>
      </c>
      <c r="B675" s="9" t="s">
        <v>1350</v>
      </c>
      <c r="C675" s="9">
        <v>10151</v>
      </c>
      <c r="D675" s="122"/>
      <c r="E675" s="115"/>
      <c r="F675" s="115"/>
      <c r="G675" s="115"/>
      <c r="H675" s="115"/>
      <c r="I675" s="115"/>
      <c r="J675" s="115"/>
      <c r="K675" s="115"/>
      <c r="L675" s="115"/>
      <c r="M675" s="115"/>
      <c r="N675" s="119"/>
      <c r="O675" s="119"/>
      <c r="P675" s="119"/>
      <c r="Q675" s="115">
        <f t="shared" si="43"/>
        <v>0</v>
      </c>
      <c r="R675" s="258" t="s">
        <v>300</v>
      </c>
      <c r="S675" s="271"/>
      <c r="U675" s="253"/>
    </row>
    <row r="676" spans="1:21" ht="12.75">
      <c r="A676" s="116">
        <f t="shared" si="44"/>
        <v>670</v>
      </c>
      <c r="B676" s="9" t="s">
        <v>1351</v>
      </c>
      <c r="C676" s="9">
        <v>10152</v>
      </c>
      <c r="D676" s="122"/>
      <c r="E676" s="115"/>
      <c r="F676" s="115"/>
      <c r="G676" s="115"/>
      <c r="H676" s="115"/>
      <c r="I676" s="115"/>
      <c r="J676" s="115"/>
      <c r="K676" s="115"/>
      <c r="L676" s="115"/>
      <c r="M676" s="115"/>
      <c r="N676" s="119"/>
      <c r="O676" s="119"/>
      <c r="P676" s="119"/>
      <c r="Q676" s="115">
        <f t="shared" si="43"/>
        <v>0</v>
      </c>
      <c r="R676" s="258" t="s">
        <v>300</v>
      </c>
      <c r="S676" s="271"/>
      <c r="U676" s="253"/>
    </row>
    <row r="677" spans="1:21" ht="12.75">
      <c r="A677" s="116">
        <f t="shared" si="44"/>
        <v>671</v>
      </c>
      <c r="B677" s="9" t="s">
        <v>1352</v>
      </c>
      <c r="C677" s="9">
        <v>10153</v>
      </c>
      <c r="D677" s="122"/>
      <c r="E677" s="115"/>
      <c r="F677" s="115"/>
      <c r="G677" s="115"/>
      <c r="H677" s="115"/>
      <c r="I677" s="115"/>
      <c r="J677" s="115"/>
      <c r="K677" s="115"/>
      <c r="L677" s="115"/>
      <c r="M677" s="115"/>
      <c r="N677" s="119"/>
      <c r="O677" s="119"/>
      <c r="P677" s="119"/>
      <c r="Q677" s="115">
        <f t="shared" si="43"/>
        <v>0</v>
      </c>
      <c r="R677" s="258" t="s">
        <v>300</v>
      </c>
      <c r="S677" s="271"/>
      <c r="U677" s="253"/>
    </row>
    <row r="678" spans="1:21" ht="12.75">
      <c r="A678" s="116">
        <f t="shared" si="44"/>
        <v>672</v>
      </c>
      <c r="B678" s="9" t="s">
        <v>1353</v>
      </c>
      <c r="C678" s="9">
        <v>10154</v>
      </c>
      <c r="D678" s="122"/>
      <c r="E678" s="115"/>
      <c r="F678" s="115"/>
      <c r="G678" s="115"/>
      <c r="H678" s="115"/>
      <c r="I678" s="115"/>
      <c r="J678" s="115"/>
      <c r="K678" s="115"/>
      <c r="L678" s="115"/>
      <c r="M678" s="115"/>
      <c r="N678" s="119"/>
      <c r="O678" s="119"/>
      <c r="P678" s="119"/>
      <c r="Q678" s="115">
        <f t="shared" si="43"/>
        <v>0</v>
      </c>
      <c r="R678" s="258" t="s">
        <v>300</v>
      </c>
      <c r="S678" s="271"/>
      <c r="U678" s="253"/>
    </row>
    <row r="679" spans="1:21" ht="12.75">
      <c r="A679" s="116">
        <f t="shared" si="44"/>
        <v>673</v>
      </c>
      <c r="B679" s="9" t="s">
        <v>1354</v>
      </c>
      <c r="C679" s="12">
        <v>10155</v>
      </c>
      <c r="D679" s="122"/>
      <c r="E679" s="115"/>
      <c r="F679" s="115"/>
      <c r="G679" s="115"/>
      <c r="H679" s="115"/>
      <c r="I679" s="115"/>
      <c r="J679" s="115"/>
      <c r="K679" s="115"/>
      <c r="L679" s="115"/>
      <c r="M679" s="115"/>
      <c r="N679" s="119"/>
      <c r="O679" s="119"/>
      <c r="P679" s="119"/>
      <c r="Q679" s="115">
        <f t="shared" si="43"/>
        <v>0</v>
      </c>
      <c r="R679" s="258" t="s">
        <v>300</v>
      </c>
      <c r="S679" s="271"/>
      <c r="U679" s="253"/>
    </row>
    <row r="680" spans="1:21" ht="12.75">
      <c r="A680" s="116">
        <f t="shared" si="44"/>
        <v>674</v>
      </c>
      <c r="B680" s="9" t="s">
        <v>1355</v>
      </c>
      <c r="C680" s="9">
        <v>10156</v>
      </c>
      <c r="D680" s="122"/>
      <c r="E680" s="115"/>
      <c r="F680" s="115"/>
      <c r="G680" s="115"/>
      <c r="H680" s="115"/>
      <c r="I680" s="115"/>
      <c r="J680" s="115"/>
      <c r="K680" s="115"/>
      <c r="L680" s="115"/>
      <c r="M680" s="115"/>
      <c r="N680" s="119"/>
      <c r="O680" s="119"/>
      <c r="P680" s="119"/>
      <c r="Q680" s="115">
        <f t="shared" si="43"/>
        <v>0</v>
      </c>
      <c r="R680" s="258" t="s">
        <v>300</v>
      </c>
      <c r="S680" s="271"/>
      <c r="U680" s="253"/>
    </row>
    <row r="681" spans="1:21" ht="12.75">
      <c r="A681" s="116">
        <f t="shared" si="44"/>
        <v>675</v>
      </c>
      <c r="B681" s="9" t="s">
        <v>1356</v>
      </c>
      <c r="C681" s="9">
        <v>10157</v>
      </c>
      <c r="D681" s="122"/>
      <c r="E681" s="115"/>
      <c r="F681" s="115"/>
      <c r="G681" s="115"/>
      <c r="H681" s="115"/>
      <c r="I681" s="115"/>
      <c r="J681" s="115"/>
      <c r="K681" s="115"/>
      <c r="L681" s="115"/>
      <c r="M681" s="115"/>
      <c r="N681" s="119"/>
      <c r="O681" s="119"/>
      <c r="P681" s="119"/>
      <c r="Q681" s="115">
        <f t="shared" si="43"/>
        <v>0</v>
      </c>
      <c r="R681" s="258" t="s">
        <v>300</v>
      </c>
      <c r="S681" s="271"/>
      <c r="U681" s="253"/>
    </row>
    <row r="682" spans="1:21" ht="12.75">
      <c r="A682" s="116">
        <f t="shared" si="44"/>
        <v>676</v>
      </c>
      <c r="B682" s="9" t="s">
        <v>1357</v>
      </c>
      <c r="C682" s="9">
        <v>10158</v>
      </c>
      <c r="D682" s="122"/>
      <c r="E682" s="115"/>
      <c r="F682" s="115"/>
      <c r="G682" s="115"/>
      <c r="H682" s="115"/>
      <c r="I682" s="115"/>
      <c r="J682" s="115"/>
      <c r="K682" s="115"/>
      <c r="L682" s="115"/>
      <c r="M682" s="115"/>
      <c r="N682" s="119"/>
      <c r="O682" s="119"/>
      <c r="P682" s="119"/>
      <c r="Q682" s="115">
        <f t="shared" si="43"/>
        <v>0</v>
      </c>
      <c r="R682" s="258" t="s">
        <v>300</v>
      </c>
      <c r="S682" s="271"/>
      <c r="U682" s="253"/>
    </row>
    <row r="683" spans="1:21" ht="12.75">
      <c r="A683" s="116">
        <f t="shared" si="44"/>
        <v>677</v>
      </c>
      <c r="B683" s="9" t="s">
        <v>1358</v>
      </c>
      <c r="C683" s="12">
        <v>10159</v>
      </c>
      <c r="D683" s="122"/>
      <c r="E683" s="115"/>
      <c r="F683" s="115"/>
      <c r="G683" s="115"/>
      <c r="H683" s="115"/>
      <c r="I683" s="115"/>
      <c r="J683" s="115"/>
      <c r="K683" s="115"/>
      <c r="L683" s="115"/>
      <c r="M683" s="115"/>
      <c r="N683" s="119"/>
      <c r="O683" s="119"/>
      <c r="P683" s="119"/>
      <c r="Q683" s="115">
        <f t="shared" si="43"/>
        <v>0</v>
      </c>
      <c r="R683" s="258" t="s">
        <v>300</v>
      </c>
      <c r="S683" s="271"/>
      <c r="U683" s="253"/>
    </row>
    <row r="684" spans="1:21" ht="12.75">
      <c r="A684" s="116">
        <f t="shared" si="44"/>
        <v>678</v>
      </c>
      <c r="B684" s="9" t="s">
        <v>1359</v>
      </c>
      <c r="C684" s="9">
        <v>10160</v>
      </c>
      <c r="D684" s="122"/>
      <c r="E684" s="115"/>
      <c r="F684" s="115"/>
      <c r="G684" s="115"/>
      <c r="H684" s="115"/>
      <c r="I684" s="115"/>
      <c r="J684" s="115"/>
      <c r="K684" s="115"/>
      <c r="L684" s="115"/>
      <c r="M684" s="115"/>
      <c r="N684" s="119"/>
      <c r="O684" s="119"/>
      <c r="P684" s="119"/>
      <c r="Q684" s="115">
        <f t="shared" si="43"/>
        <v>0</v>
      </c>
      <c r="R684" s="258" t="s">
        <v>300</v>
      </c>
      <c r="S684" s="271"/>
      <c r="U684" s="253"/>
    </row>
    <row r="685" spans="1:21" ht="12.75">
      <c r="A685" s="116">
        <f t="shared" si="44"/>
        <v>679</v>
      </c>
      <c r="B685" s="9" t="s">
        <v>1360</v>
      </c>
      <c r="C685" s="9">
        <v>10161</v>
      </c>
      <c r="D685" s="122"/>
      <c r="E685" s="115"/>
      <c r="F685" s="115"/>
      <c r="G685" s="115"/>
      <c r="H685" s="115"/>
      <c r="I685" s="115"/>
      <c r="J685" s="115"/>
      <c r="K685" s="115"/>
      <c r="L685" s="115"/>
      <c r="M685" s="115"/>
      <c r="N685" s="119"/>
      <c r="O685" s="119"/>
      <c r="P685" s="119"/>
      <c r="Q685" s="115">
        <f t="shared" si="43"/>
        <v>0</v>
      </c>
      <c r="R685" s="258" t="s">
        <v>300</v>
      </c>
      <c r="S685" s="271"/>
      <c r="U685" s="253"/>
    </row>
    <row r="686" spans="1:21" ht="12.75">
      <c r="A686" s="116">
        <f t="shared" si="44"/>
        <v>680</v>
      </c>
      <c r="B686" s="9" t="s">
        <v>1361</v>
      </c>
      <c r="C686" s="9">
        <v>10162</v>
      </c>
      <c r="D686" s="122"/>
      <c r="E686" s="115"/>
      <c r="F686" s="115"/>
      <c r="G686" s="115"/>
      <c r="H686" s="115"/>
      <c r="I686" s="115"/>
      <c r="J686" s="115"/>
      <c r="K686" s="115"/>
      <c r="L686" s="115"/>
      <c r="M686" s="115"/>
      <c r="N686" s="119"/>
      <c r="O686" s="119"/>
      <c r="P686" s="119"/>
      <c r="Q686" s="115">
        <f t="shared" si="43"/>
        <v>0</v>
      </c>
      <c r="R686" s="258" t="s">
        <v>300</v>
      </c>
      <c r="S686" s="271"/>
      <c r="U686" s="253"/>
    </row>
    <row r="687" spans="1:21" ht="12.75">
      <c r="A687" s="116">
        <f t="shared" si="44"/>
        <v>681</v>
      </c>
      <c r="B687" s="9" t="s">
        <v>1362</v>
      </c>
      <c r="C687" s="9">
        <v>10163</v>
      </c>
      <c r="D687" s="122"/>
      <c r="E687" s="115"/>
      <c r="F687" s="115"/>
      <c r="G687" s="115"/>
      <c r="H687" s="115"/>
      <c r="I687" s="115"/>
      <c r="J687" s="115"/>
      <c r="K687" s="115"/>
      <c r="L687" s="115"/>
      <c r="M687" s="115"/>
      <c r="N687" s="119"/>
      <c r="O687" s="119"/>
      <c r="P687" s="119"/>
      <c r="Q687" s="115">
        <f t="shared" si="43"/>
        <v>0</v>
      </c>
      <c r="R687" s="258" t="s">
        <v>300</v>
      </c>
      <c r="S687" s="271"/>
      <c r="U687" s="253"/>
    </row>
    <row r="688" spans="1:21" ht="12.75">
      <c r="A688" s="116">
        <f t="shared" si="44"/>
        <v>682</v>
      </c>
      <c r="B688" s="9" t="s">
        <v>1363</v>
      </c>
      <c r="C688" s="9">
        <v>10164</v>
      </c>
      <c r="D688" s="122"/>
      <c r="E688" s="115"/>
      <c r="F688" s="115"/>
      <c r="G688" s="115"/>
      <c r="H688" s="115"/>
      <c r="I688" s="115"/>
      <c r="J688" s="115"/>
      <c r="K688" s="115"/>
      <c r="L688" s="115"/>
      <c r="M688" s="115"/>
      <c r="N688" s="119"/>
      <c r="O688" s="119"/>
      <c r="P688" s="119"/>
      <c r="Q688" s="115">
        <f t="shared" si="43"/>
        <v>0</v>
      </c>
      <c r="R688" s="258" t="s">
        <v>300</v>
      </c>
      <c r="S688" s="271"/>
      <c r="U688" s="253"/>
    </row>
    <row r="689" spans="1:21" ht="12.75">
      <c r="A689" s="116">
        <f t="shared" si="44"/>
        <v>683</v>
      </c>
      <c r="B689" s="9" t="s">
        <v>1364</v>
      </c>
      <c r="C689" s="9">
        <v>10165</v>
      </c>
      <c r="D689" s="122"/>
      <c r="E689" s="115"/>
      <c r="F689" s="115"/>
      <c r="G689" s="115"/>
      <c r="H689" s="115"/>
      <c r="I689" s="115"/>
      <c r="J689" s="115"/>
      <c r="K689" s="115"/>
      <c r="L689" s="115"/>
      <c r="M689" s="115"/>
      <c r="N689" s="119"/>
      <c r="O689" s="119"/>
      <c r="P689" s="119"/>
      <c r="Q689" s="115">
        <f aca="true" t="shared" si="45" ref="Q689:Q752">E689+F689+G689+H689+I689+J689+K689+L689+M689+N689+O689+P689</f>
        <v>0</v>
      </c>
      <c r="R689" s="258" t="s">
        <v>300</v>
      </c>
      <c r="S689" s="271"/>
      <c r="U689" s="253"/>
    </row>
    <row r="690" spans="1:21" ht="12.75">
      <c r="A690" s="116">
        <f t="shared" si="44"/>
        <v>684</v>
      </c>
      <c r="B690" s="9" t="s">
        <v>1365</v>
      </c>
      <c r="C690" s="12">
        <v>10166</v>
      </c>
      <c r="D690" s="122"/>
      <c r="E690" s="115"/>
      <c r="F690" s="115"/>
      <c r="G690" s="115"/>
      <c r="H690" s="115"/>
      <c r="I690" s="115"/>
      <c r="J690" s="115"/>
      <c r="K690" s="115"/>
      <c r="L690" s="115"/>
      <c r="M690" s="115"/>
      <c r="N690" s="119"/>
      <c r="O690" s="119"/>
      <c r="P690" s="119"/>
      <c r="Q690" s="115">
        <f t="shared" si="45"/>
        <v>0</v>
      </c>
      <c r="R690" s="258" t="s">
        <v>300</v>
      </c>
      <c r="S690" s="271"/>
      <c r="U690" s="253"/>
    </row>
    <row r="691" spans="1:21" ht="12.75">
      <c r="A691" s="116">
        <f t="shared" si="44"/>
        <v>685</v>
      </c>
      <c r="B691" s="9" t="s">
        <v>1366</v>
      </c>
      <c r="C691" s="9">
        <v>10167</v>
      </c>
      <c r="D691" s="122"/>
      <c r="E691" s="115"/>
      <c r="F691" s="115"/>
      <c r="G691" s="115"/>
      <c r="H691" s="115"/>
      <c r="I691" s="115"/>
      <c r="J691" s="115"/>
      <c r="K691" s="115"/>
      <c r="L691" s="115"/>
      <c r="M691" s="115"/>
      <c r="N691" s="119"/>
      <c r="O691" s="119"/>
      <c r="P691" s="119"/>
      <c r="Q691" s="115">
        <f t="shared" si="45"/>
        <v>0</v>
      </c>
      <c r="R691" s="258" t="s">
        <v>300</v>
      </c>
      <c r="S691" s="271"/>
      <c r="U691" s="253"/>
    </row>
    <row r="692" spans="1:21" ht="12.75">
      <c r="A692" s="116">
        <f t="shared" si="44"/>
        <v>686</v>
      </c>
      <c r="B692" s="9" t="s">
        <v>0</v>
      </c>
      <c r="C692" s="9">
        <v>10168</v>
      </c>
      <c r="D692" s="122"/>
      <c r="E692" s="115"/>
      <c r="F692" s="115"/>
      <c r="G692" s="115"/>
      <c r="H692" s="115"/>
      <c r="I692" s="115"/>
      <c r="J692" s="115"/>
      <c r="K692" s="115"/>
      <c r="L692" s="115"/>
      <c r="M692" s="115"/>
      <c r="N692" s="119"/>
      <c r="O692" s="119"/>
      <c r="P692" s="119"/>
      <c r="Q692" s="115">
        <f t="shared" si="45"/>
        <v>0</v>
      </c>
      <c r="R692" s="258" t="s">
        <v>300</v>
      </c>
      <c r="S692" s="271"/>
      <c r="U692" s="253"/>
    </row>
    <row r="693" spans="1:21" ht="12.75">
      <c r="A693" s="116">
        <f t="shared" si="44"/>
        <v>687</v>
      </c>
      <c r="B693" s="9" t="s">
        <v>1</v>
      </c>
      <c r="C693" s="9">
        <v>10169</v>
      </c>
      <c r="D693" s="122"/>
      <c r="E693" s="115"/>
      <c r="F693" s="115"/>
      <c r="G693" s="115"/>
      <c r="H693" s="115"/>
      <c r="I693" s="115"/>
      <c r="J693" s="115"/>
      <c r="K693" s="115"/>
      <c r="L693" s="115"/>
      <c r="M693" s="115"/>
      <c r="N693" s="119"/>
      <c r="O693" s="119"/>
      <c r="P693" s="119"/>
      <c r="Q693" s="115">
        <f t="shared" si="45"/>
        <v>0</v>
      </c>
      <c r="R693" s="258" t="s">
        <v>300</v>
      </c>
      <c r="S693" s="271"/>
      <c r="U693" s="253"/>
    </row>
    <row r="694" spans="1:21" ht="12.75">
      <c r="A694" s="116">
        <f t="shared" si="44"/>
        <v>688</v>
      </c>
      <c r="B694" s="9" t="s">
        <v>2</v>
      </c>
      <c r="C694" s="12">
        <v>10170</v>
      </c>
      <c r="D694" s="122"/>
      <c r="E694" s="115"/>
      <c r="F694" s="115"/>
      <c r="G694" s="115"/>
      <c r="H694" s="115"/>
      <c r="I694" s="115"/>
      <c r="J694" s="115"/>
      <c r="K694" s="115"/>
      <c r="L694" s="115"/>
      <c r="M694" s="115"/>
      <c r="N694" s="119"/>
      <c r="O694" s="119"/>
      <c r="P694" s="119"/>
      <c r="Q694" s="115">
        <f t="shared" si="45"/>
        <v>0</v>
      </c>
      <c r="R694" s="258" t="s">
        <v>300</v>
      </c>
      <c r="S694" s="271"/>
      <c r="U694" s="253"/>
    </row>
    <row r="695" spans="1:21" ht="12.75">
      <c r="A695" s="116">
        <f t="shared" si="44"/>
        <v>689</v>
      </c>
      <c r="B695" s="9" t="s">
        <v>3</v>
      </c>
      <c r="C695" s="9">
        <v>10171</v>
      </c>
      <c r="D695" s="122"/>
      <c r="E695" s="115"/>
      <c r="F695" s="115"/>
      <c r="G695" s="115"/>
      <c r="H695" s="115"/>
      <c r="I695" s="115"/>
      <c r="J695" s="115"/>
      <c r="K695" s="115"/>
      <c r="L695" s="115"/>
      <c r="M695" s="115"/>
      <c r="N695" s="119"/>
      <c r="O695" s="119"/>
      <c r="P695" s="119"/>
      <c r="Q695" s="115">
        <f t="shared" si="45"/>
        <v>0</v>
      </c>
      <c r="R695" s="258" t="s">
        <v>300</v>
      </c>
      <c r="S695" s="271"/>
      <c r="U695" s="253"/>
    </row>
    <row r="696" spans="1:21" ht="12.75">
      <c r="A696" s="116">
        <f t="shared" si="44"/>
        <v>690</v>
      </c>
      <c r="B696" s="9" t="s">
        <v>4</v>
      </c>
      <c r="C696" s="9">
        <v>10172</v>
      </c>
      <c r="D696" s="122"/>
      <c r="E696" s="115"/>
      <c r="F696" s="115"/>
      <c r="G696" s="115"/>
      <c r="H696" s="115"/>
      <c r="I696" s="115"/>
      <c r="J696" s="115"/>
      <c r="K696" s="115"/>
      <c r="L696" s="115"/>
      <c r="M696" s="115"/>
      <c r="N696" s="119"/>
      <c r="O696" s="119"/>
      <c r="P696" s="119"/>
      <c r="Q696" s="115">
        <f t="shared" si="45"/>
        <v>0</v>
      </c>
      <c r="R696" s="258" t="s">
        <v>300</v>
      </c>
      <c r="S696" s="271"/>
      <c r="U696" s="253"/>
    </row>
    <row r="697" spans="1:21" ht="12.75">
      <c r="A697" s="116">
        <f t="shared" si="44"/>
        <v>691</v>
      </c>
      <c r="B697" s="9" t="s">
        <v>5</v>
      </c>
      <c r="C697" s="9">
        <v>10173</v>
      </c>
      <c r="D697" s="122"/>
      <c r="E697" s="115"/>
      <c r="F697" s="115"/>
      <c r="G697" s="115"/>
      <c r="H697" s="115"/>
      <c r="I697" s="115"/>
      <c r="J697" s="115"/>
      <c r="K697" s="115"/>
      <c r="L697" s="115"/>
      <c r="M697" s="115"/>
      <c r="N697" s="119"/>
      <c r="O697" s="119"/>
      <c r="P697" s="119"/>
      <c r="Q697" s="115">
        <f t="shared" si="45"/>
        <v>0</v>
      </c>
      <c r="R697" s="258" t="s">
        <v>300</v>
      </c>
      <c r="S697" s="271"/>
      <c r="U697" s="253"/>
    </row>
    <row r="698" spans="1:21" ht="12.75">
      <c r="A698" s="116">
        <f t="shared" si="44"/>
        <v>692</v>
      </c>
      <c r="B698" s="9" t="s">
        <v>6</v>
      </c>
      <c r="C698" s="9">
        <v>10174</v>
      </c>
      <c r="D698" s="122"/>
      <c r="E698" s="115"/>
      <c r="F698" s="115"/>
      <c r="G698" s="115"/>
      <c r="H698" s="115"/>
      <c r="I698" s="115"/>
      <c r="J698" s="115"/>
      <c r="K698" s="115"/>
      <c r="L698" s="115"/>
      <c r="M698" s="115"/>
      <c r="N698" s="119"/>
      <c r="O698" s="119"/>
      <c r="P698" s="119"/>
      <c r="Q698" s="115">
        <f t="shared" si="45"/>
        <v>0</v>
      </c>
      <c r="R698" s="258" t="s">
        <v>300</v>
      </c>
      <c r="S698" s="271"/>
      <c r="U698" s="253"/>
    </row>
    <row r="699" spans="1:21" ht="12.75">
      <c r="A699" s="116">
        <f t="shared" si="44"/>
        <v>693</v>
      </c>
      <c r="B699" s="9" t="s">
        <v>7</v>
      </c>
      <c r="C699" s="9">
        <v>10175</v>
      </c>
      <c r="D699" s="122"/>
      <c r="E699" s="115"/>
      <c r="F699" s="115"/>
      <c r="G699" s="115"/>
      <c r="H699" s="115"/>
      <c r="I699" s="115"/>
      <c r="J699" s="115"/>
      <c r="K699" s="115"/>
      <c r="L699" s="115"/>
      <c r="M699" s="115"/>
      <c r="N699" s="119"/>
      <c r="O699" s="119"/>
      <c r="P699" s="119"/>
      <c r="Q699" s="115">
        <f t="shared" si="45"/>
        <v>0</v>
      </c>
      <c r="R699" s="258" t="s">
        <v>300</v>
      </c>
      <c r="S699" s="271"/>
      <c r="U699" s="253"/>
    </row>
    <row r="700" spans="1:21" ht="12.75">
      <c r="A700" s="116">
        <f t="shared" si="44"/>
        <v>694</v>
      </c>
      <c r="B700" s="9" t="s">
        <v>8</v>
      </c>
      <c r="C700" s="9">
        <v>10176</v>
      </c>
      <c r="D700" s="122"/>
      <c r="E700" s="115"/>
      <c r="F700" s="115"/>
      <c r="G700" s="115"/>
      <c r="H700" s="115"/>
      <c r="I700" s="115"/>
      <c r="J700" s="115"/>
      <c r="K700" s="115"/>
      <c r="L700" s="115"/>
      <c r="M700" s="115"/>
      <c r="N700" s="119"/>
      <c r="O700" s="119"/>
      <c r="P700" s="119"/>
      <c r="Q700" s="115">
        <f t="shared" si="45"/>
        <v>0</v>
      </c>
      <c r="R700" s="258" t="s">
        <v>300</v>
      </c>
      <c r="S700" s="271"/>
      <c r="U700" s="253"/>
    </row>
    <row r="701" spans="1:21" ht="12.75">
      <c r="A701" s="116">
        <f t="shared" si="44"/>
        <v>695</v>
      </c>
      <c r="B701" s="9" t="s">
        <v>9</v>
      </c>
      <c r="C701" s="12">
        <v>10177</v>
      </c>
      <c r="D701" s="122"/>
      <c r="E701" s="115"/>
      <c r="F701" s="115"/>
      <c r="G701" s="115"/>
      <c r="H701" s="115"/>
      <c r="I701" s="115"/>
      <c r="J701" s="115"/>
      <c r="K701" s="115"/>
      <c r="L701" s="115"/>
      <c r="M701" s="115"/>
      <c r="N701" s="119"/>
      <c r="O701" s="119"/>
      <c r="P701" s="119"/>
      <c r="Q701" s="115">
        <f t="shared" si="45"/>
        <v>0</v>
      </c>
      <c r="R701" s="258" t="s">
        <v>300</v>
      </c>
      <c r="S701" s="271"/>
      <c r="U701" s="253"/>
    </row>
    <row r="702" spans="1:21" ht="12.75">
      <c r="A702" s="116">
        <f t="shared" si="44"/>
        <v>696</v>
      </c>
      <c r="B702" s="9" t="s">
        <v>10</v>
      </c>
      <c r="C702" s="9">
        <v>10178</v>
      </c>
      <c r="D702" s="122"/>
      <c r="E702" s="115"/>
      <c r="F702" s="115"/>
      <c r="G702" s="115"/>
      <c r="H702" s="115"/>
      <c r="I702" s="115"/>
      <c r="J702" s="115"/>
      <c r="K702" s="115"/>
      <c r="L702" s="115"/>
      <c r="M702" s="115"/>
      <c r="N702" s="119"/>
      <c r="O702" s="119"/>
      <c r="P702" s="119"/>
      <c r="Q702" s="115">
        <f t="shared" si="45"/>
        <v>0</v>
      </c>
      <c r="R702" s="258" t="s">
        <v>300</v>
      </c>
      <c r="S702" s="271"/>
      <c r="U702" s="253"/>
    </row>
    <row r="703" spans="1:21" ht="12.75">
      <c r="A703" s="116">
        <f t="shared" si="44"/>
        <v>697</v>
      </c>
      <c r="B703" s="9" t="s">
        <v>11</v>
      </c>
      <c r="C703" s="9">
        <v>10179</v>
      </c>
      <c r="D703" s="122"/>
      <c r="E703" s="115"/>
      <c r="F703" s="115"/>
      <c r="G703" s="115"/>
      <c r="H703" s="115"/>
      <c r="I703" s="115"/>
      <c r="J703" s="115"/>
      <c r="K703" s="115"/>
      <c r="L703" s="115"/>
      <c r="M703" s="115"/>
      <c r="N703" s="119"/>
      <c r="O703" s="119"/>
      <c r="P703" s="119"/>
      <c r="Q703" s="115">
        <f t="shared" si="45"/>
        <v>0</v>
      </c>
      <c r="R703" s="258" t="s">
        <v>300</v>
      </c>
      <c r="S703" s="271"/>
      <c r="U703" s="253"/>
    </row>
    <row r="704" spans="1:21" ht="12.75">
      <c r="A704" s="116">
        <f t="shared" si="44"/>
        <v>698</v>
      </c>
      <c r="B704" s="9" t="s">
        <v>12</v>
      </c>
      <c r="C704" s="9">
        <v>10180</v>
      </c>
      <c r="D704" s="122"/>
      <c r="E704" s="115"/>
      <c r="F704" s="115"/>
      <c r="G704" s="115"/>
      <c r="H704" s="115"/>
      <c r="I704" s="115"/>
      <c r="J704" s="115"/>
      <c r="K704" s="115"/>
      <c r="L704" s="115"/>
      <c r="M704" s="115"/>
      <c r="N704" s="119"/>
      <c r="O704" s="119"/>
      <c r="P704" s="119"/>
      <c r="Q704" s="115">
        <f t="shared" si="45"/>
        <v>0</v>
      </c>
      <c r="R704" s="258" t="s">
        <v>300</v>
      </c>
      <c r="S704" s="271"/>
      <c r="U704" s="253"/>
    </row>
    <row r="705" spans="1:21" ht="12.75">
      <c r="A705" s="116">
        <f t="shared" si="44"/>
        <v>699</v>
      </c>
      <c r="B705" s="9" t="s">
        <v>13</v>
      </c>
      <c r="C705" s="12">
        <v>10181</v>
      </c>
      <c r="D705" s="122"/>
      <c r="E705" s="115"/>
      <c r="F705" s="115"/>
      <c r="G705" s="115"/>
      <c r="H705" s="115"/>
      <c r="I705" s="115"/>
      <c r="J705" s="115"/>
      <c r="K705" s="115"/>
      <c r="L705" s="115"/>
      <c r="M705" s="115"/>
      <c r="N705" s="119"/>
      <c r="O705" s="119"/>
      <c r="P705" s="119"/>
      <c r="Q705" s="115">
        <f t="shared" si="45"/>
        <v>0</v>
      </c>
      <c r="R705" s="258" t="s">
        <v>300</v>
      </c>
      <c r="S705" s="271"/>
      <c r="U705" s="253"/>
    </row>
    <row r="706" spans="1:21" ht="12.75">
      <c r="A706" s="116">
        <f t="shared" si="44"/>
        <v>700</v>
      </c>
      <c r="B706" s="9" t="s">
        <v>14</v>
      </c>
      <c r="C706" s="9">
        <v>10182</v>
      </c>
      <c r="D706" s="122"/>
      <c r="E706" s="115"/>
      <c r="F706" s="115"/>
      <c r="G706" s="115"/>
      <c r="H706" s="115"/>
      <c r="I706" s="115"/>
      <c r="J706" s="115"/>
      <c r="K706" s="115"/>
      <c r="L706" s="115"/>
      <c r="M706" s="115"/>
      <c r="N706" s="119"/>
      <c r="O706" s="119"/>
      <c r="P706" s="119"/>
      <c r="Q706" s="115">
        <f t="shared" si="45"/>
        <v>0</v>
      </c>
      <c r="R706" s="258" t="s">
        <v>300</v>
      </c>
      <c r="S706" s="271"/>
      <c r="U706" s="253"/>
    </row>
    <row r="707" spans="1:21" ht="12.75">
      <c r="A707" s="116">
        <f t="shared" si="44"/>
        <v>701</v>
      </c>
      <c r="B707" s="9" t="s">
        <v>15</v>
      </c>
      <c r="C707" s="9">
        <v>10183</v>
      </c>
      <c r="D707" s="122"/>
      <c r="E707" s="115"/>
      <c r="F707" s="115"/>
      <c r="G707" s="115"/>
      <c r="H707" s="115"/>
      <c r="I707" s="115"/>
      <c r="J707" s="115"/>
      <c r="K707" s="115"/>
      <c r="L707" s="115"/>
      <c r="M707" s="115"/>
      <c r="N707" s="119"/>
      <c r="O707" s="119"/>
      <c r="P707" s="119"/>
      <c r="Q707" s="115">
        <f t="shared" si="45"/>
        <v>0</v>
      </c>
      <c r="R707" s="258" t="s">
        <v>300</v>
      </c>
      <c r="S707" s="271"/>
      <c r="U707" s="253"/>
    </row>
    <row r="708" spans="1:21" ht="12.75">
      <c r="A708" s="116">
        <f t="shared" si="44"/>
        <v>702</v>
      </c>
      <c r="B708" s="9" t="s">
        <v>16</v>
      </c>
      <c r="C708" s="9">
        <v>10184</v>
      </c>
      <c r="D708" s="122"/>
      <c r="E708" s="115"/>
      <c r="F708" s="115"/>
      <c r="G708" s="115"/>
      <c r="H708" s="115"/>
      <c r="I708" s="115"/>
      <c r="J708" s="115"/>
      <c r="K708" s="114"/>
      <c r="L708" s="114"/>
      <c r="M708" s="114"/>
      <c r="N708" s="119"/>
      <c r="O708" s="119"/>
      <c r="P708" s="119"/>
      <c r="Q708" s="115">
        <f t="shared" si="45"/>
        <v>0</v>
      </c>
      <c r="R708" s="258" t="s">
        <v>300</v>
      </c>
      <c r="S708" s="271"/>
      <c r="U708" s="253"/>
    </row>
    <row r="709" spans="1:21" ht="12.75">
      <c r="A709" s="116">
        <f t="shared" si="44"/>
        <v>703</v>
      </c>
      <c r="B709" s="9" t="s">
        <v>17</v>
      </c>
      <c r="C709" s="9">
        <v>10185</v>
      </c>
      <c r="D709" s="122"/>
      <c r="E709" s="115"/>
      <c r="F709" s="115"/>
      <c r="G709" s="115"/>
      <c r="H709" s="115"/>
      <c r="I709" s="115"/>
      <c r="J709" s="115"/>
      <c r="K709" s="114"/>
      <c r="L709" s="114"/>
      <c r="M709" s="114"/>
      <c r="N709" s="119"/>
      <c r="O709" s="119"/>
      <c r="P709" s="119"/>
      <c r="Q709" s="115">
        <f t="shared" si="45"/>
        <v>0</v>
      </c>
      <c r="R709" s="258" t="s">
        <v>300</v>
      </c>
      <c r="S709" s="271"/>
      <c r="U709" s="253"/>
    </row>
    <row r="710" spans="1:21" ht="12.75">
      <c r="A710" s="116">
        <f t="shared" si="44"/>
        <v>704</v>
      </c>
      <c r="B710" s="9" t="s">
        <v>18</v>
      </c>
      <c r="C710" s="9">
        <v>10186</v>
      </c>
      <c r="D710" s="122"/>
      <c r="E710" s="115"/>
      <c r="F710" s="115"/>
      <c r="G710" s="115"/>
      <c r="H710" s="115"/>
      <c r="I710" s="115"/>
      <c r="J710" s="115"/>
      <c r="K710" s="114"/>
      <c r="L710" s="114"/>
      <c r="M710" s="114"/>
      <c r="N710" s="119"/>
      <c r="O710" s="119"/>
      <c r="P710" s="119"/>
      <c r="Q710" s="115">
        <f t="shared" si="45"/>
        <v>0</v>
      </c>
      <c r="R710" s="258" t="s">
        <v>300</v>
      </c>
      <c r="S710" s="271"/>
      <c r="U710" s="253"/>
    </row>
    <row r="711" spans="1:21" ht="12.75">
      <c r="A711" s="116">
        <f t="shared" si="44"/>
        <v>705</v>
      </c>
      <c r="B711" s="9" t="s">
        <v>19</v>
      </c>
      <c r="C711" s="9">
        <v>10187</v>
      </c>
      <c r="D711" s="122"/>
      <c r="E711" s="115"/>
      <c r="F711" s="115"/>
      <c r="G711" s="115"/>
      <c r="H711" s="115"/>
      <c r="I711" s="115"/>
      <c r="J711" s="115"/>
      <c r="K711" s="114"/>
      <c r="L711" s="114"/>
      <c r="M711" s="114"/>
      <c r="N711" s="119"/>
      <c r="O711" s="119"/>
      <c r="P711" s="119"/>
      <c r="Q711" s="115">
        <f t="shared" si="45"/>
        <v>0</v>
      </c>
      <c r="R711" s="258" t="s">
        <v>300</v>
      </c>
      <c r="S711" s="271"/>
      <c r="U711" s="253"/>
    </row>
    <row r="712" spans="1:21" ht="12.75">
      <c r="A712" s="116">
        <f t="shared" si="44"/>
        <v>706</v>
      </c>
      <c r="B712" s="9" t="s">
        <v>20</v>
      </c>
      <c r="C712" s="12">
        <v>10188</v>
      </c>
      <c r="D712" s="122"/>
      <c r="E712" s="115"/>
      <c r="F712" s="115"/>
      <c r="G712" s="115"/>
      <c r="H712" s="115"/>
      <c r="I712" s="115"/>
      <c r="J712" s="115"/>
      <c r="K712" s="114"/>
      <c r="L712" s="114"/>
      <c r="M712" s="114"/>
      <c r="N712" s="119"/>
      <c r="O712" s="119"/>
      <c r="P712" s="119"/>
      <c r="Q712" s="115">
        <f t="shared" si="45"/>
        <v>0</v>
      </c>
      <c r="R712" s="258" t="s">
        <v>300</v>
      </c>
      <c r="S712" s="271"/>
      <c r="U712" s="253"/>
    </row>
    <row r="713" spans="1:21" ht="12.75">
      <c r="A713" s="116">
        <f aca="true" t="shared" si="46" ref="A713:A760">A712+1</f>
        <v>707</v>
      </c>
      <c r="B713" s="9" t="s">
        <v>21</v>
      </c>
      <c r="C713" s="9">
        <v>10189</v>
      </c>
      <c r="D713" s="122"/>
      <c r="E713" s="115"/>
      <c r="F713" s="115"/>
      <c r="G713" s="115"/>
      <c r="H713" s="115"/>
      <c r="I713" s="115"/>
      <c r="J713" s="115"/>
      <c r="K713" s="114"/>
      <c r="L713" s="114"/>
      <c r="M713" s="114"/>
      <c r="N713" s="119"/>
      <c r="O713" s="119"/>
      <c r="P713" s="119"/>
      <c r="Q713" s="115">
        <f t="shared" si="45"/>
        <v>0</v>
      </c>
      <c r="R713" s="258" t="s">
        <v>300</v>
      </c>
      <c r="S713" s="271"/>
      <c r="U713" s="253"/>
    </row>
    <row r="714" spans="1:21" ht="12.75">
      <c r="A714" s="116">
        <f t="shared" si="46"/>
        <v>708</v>
      </c>
      <c r="B714" s="9" t="s">
        <v>22</v>
      </c>
      <c r="C714" s="9">
        <v>10190</v>
      </c>
      <c r="D714" s="122"/>
      <c r="E714" s="115"/>
      <c r="F714" s="115"/>
      <c r="G714" s="115"/>
      <c r="H714" s="115"/>
      <c r="I714" s="115"/>
      <c r="J714" s="115"/>
      <c r="K714" s="114"/>
      <c r="L714" s="114"/>
      <c r="M714" s="114"/>
      <c r="N714" s="119"/>
      <c r="O714" s="119"/>
      <c r="P714" s="119"/>
      <c r="Q714" s="115">
        <f t="shared" si="45"/>
        <v>0</v>
      </c>
      <c r="R714" s="258" t="s">
        <v>300</v>
      </c>
      <c r="S714" s="271"/>
      <c r="U714" s="253"/>
    </row>
    <row r="715" spans="1:21" ht="12.75">
      <c r="A715" s="116">
        <f t="shared" si="46"/>
        <v>709</v>
      </c>
      <c r="B715" s="9" t="s">
        <v>23</v>
      </c>
      <c r="C715" s="9">
        <v>10191</v>
      </c>
      <c r="D715" s="122"/>
      <c r="E715" s="115"/>
      <c r="F715" s="115"/>
      <c r="G715" s="115"/>
      <c r="H715" s="115"/>
      <c r="I715" s="115"/>
      <c r="J715" s="115"/>
      <c r="K715" s="114"/>
      <c r="L715" s="114"/>
      <c r="M715" s="114"/>
      <c r="N715" s="119"/>
      <c r="O715" s="119"/>
      <c r="P715" s="119"/>
      <c r="Q715" s="115">
        <f t="shared" si="45"/>
        <v>0</v>
      </c>
      <c r="R715" s="258" t="s">
        <v>300</v>
      </c>
      <c r="S715" s="271"/>
      <c r="U715" s="253"/>
    </row>
    <row r="716" spans="1:21" ht="12.75">
      <c r="A716" s="116">
        <f t="shared" si="46"/>
        <v>710</v>
      </c>
      <c r="B716" s="9" t="s">
        <v>24</v>
      </c>
      <c r="C716" s="12">
        <v>10192</v>
      </c>
      <c r="D716" s="122"/>
      <c r="E716" s="115"/>
      <c r="F716" s="115"/>
      <c r="G716" s="115"/>
      <c r="H716" s="115"/>
      <c r="I716" s="115"/>
      <c r="J716" s="115"/>
      <c r="K716" s="114"/>
      <c r="L716" s="114"/>
      <c r="M716" s="114"/>
      <c r="N716" s="119"/>
      <c r="O716" s="119"/>
      <c r="P716" s="119"/>
      <c r="Q716" s="115">
        <f t="shared" si="45"/>
        <v>0</v>
      </c>
      <c r="R716" s="258" t="s">
        <v>300</v>
      </c>
      <c r="S716" s="271"/>
      <c r="U716" s="253"/>
    </row>
    <row r="717" spans="1:21" ht="12.75">
      <c r="A717" s="116">
        <f t="shared" si="46"/>
        <v>711</v>
      </c>
      <c r="B717" s="9" t="s">
        <v>25</v>
      </c>
      <c r="C717" s="9">
        <v>10193</v>
      </c>
      <c r="D717" s="122"/>
      <c r="E717" s="115"/>
      <c r="F717" s="115"/>
      <c r="G717" s="115"/>
      <c r="H717" s="115"/>
      <c r="I717" s="115"/>
      <c r="J717" s="115"/>
      <c r="K717" s="114"/>
      <c r="L717" s="114"/>
      <c r="M717" s="114"/>
      <c r="N717" s="119"/>
      <c r="O717" s="119"/>
      <c r="P717" s="119"/>
      <c r="Q717" s="115">
        <f t="shared" si="45"/>
        <v>0</v>
      </c>
      <c r="R717" s="258" t="s">
        <v>300</v>
      </c>
      <c r="S717" s="271"/>
      <c r="U717" s="253"/>
    </row>
    <row r="718" spans="1:21" ht="12.75">
      <c r="A718" s="116">
        <f t="shared" si="46"/>
        <v>712</v>
      </c>
      <c r="B718" s="9" t="s">
        <v>26</v>
      </c>
      <c r="C718" s="9">
        <v>10194</v>
      </c>
      <c r="D718" s="122"/>
      <c r="E718" s="115"/>
      <c r="F718" s="115"/>
      <c r="G718" s="115"/>
      <c r="H718" s="115"/>
      <c r="I718" s="115"/>
      <c r="J718" s="115"/>
      <c r="K718" s="114"/>
      <c r="L718" s="114"/>
      <c r="M718" s="114"/>
      <c r="N718" s="119"/>
      <c r="O718" s="119"/>
      <c r="P718" s="119"/>
      <c r="Q718" s="115">
        <f t="shared" si="45"/>
        <v>0</v>
      </c>
      <c r="R718" s="258" t="s">
        <v>300</v>
      </c>
      <c r="S718" s="271"/>
      <c r="U718" s="253"/>
    </row>
    <row r="719" spans="1:21" ht="12.75">
      <c r="A719" s="116">
        <f t="shared" si="46"/>
        <v>713</v>
      </c>
      <c r="B719" s="9" t="s">
        <v>27</v>
      </c>
      <c r="C719" s="9">
        <v>10195</v>
      </c>
      <c r="D719" s="122"/>
      <c r="E719" s="115"/>
      <c r="F719" s="115"/>
      <c r="G719" s="115"/>
      <c r="H719" s="115"/>
      <c r="I719" s="115"/>
      <c r="J719" s="115"/>
      <c r="K719" s="114"/>
      <c r="L719" s="114"/>
      <c r="M719" s="114"/>
      <c r="N719" s="119"/>
      <c r="O719" s="119"/>
      <c r="P719" s="119"/>
      <c r="Q719" s="115">
        <f t="shared" si="45"/>
        <v>0</v>
      </c>
      <c r="R719" s="258" t="s">
        <v>300</v>
      </c>
      <c r="S719" s="271"/>
      <c r="U719" s="253"/>
    </row>
    <row r="720" spans="1:21" ht="12.75">
      <c r="A720" s="116">
        <f t="shared" si="46"/>
        <v>714</v>
      </c>
      <c r="B720" s="9" t="s">
        <v>28</v>
      </c>
      <c r="C720" s="9">
        <v>10196</v>
      </c>
      <c r="D720" s="122"/>
      <c r="E720" s="115"/>
      <c r="F720" s="115"/>
      <c r="G720" s="115"/>
      <c r="H720" s="115"/>
      <c r="I720" s="115"/>
      <c r="J720" s="115"/>
      <c r="K720" s="114"/>
      <c r="L720" s="114"/>
      <c r="M720" s="114"/>
      <c r="N720" s="119"/>
      <c r="O720" s="119"/>
      <c r="P720" s="119"/>
      <c r="Q720" s="115">
        <f t="shared" si="45"/>
        <v>0</v>
      </c>
      <c r="R720" s="258" t="s">
        <v>300</v>
      </c>
      <c r="S720" s="271"/>
      <c r="U720" s="253"/>
    </row>
    <row r="721" spans="1:21" ht="12.75">
      <c r="A721" s="116">
        <f t="shared" si="46"/>
        <v>715</v>
      </c>
      <c r="B721" s="9" t="s">
        <v>29</v>
      </c>
      <c r="C721" s="9">
        <v>10197</v>
      </c>
      <c r="D721" s="122"/>
      <c r="E721" s="115"/>
      <c r="F721" s="115"/>
      <c r="G721" s="115"/>
      <c r="H721" s="115"/>
      <c r="I721" s="115"/>
      <c r="J721" s="115"/>
      <c r="K721" s="114"/>
      <c r="L721" s="114"/>
      <c r="M721" s="114"/>
      <c r="N721" s="119"/>
      <c r="O721" s="119"/>
      <c r="P721" s="119"/>
      <c r="Q721" s="115">
        <f t="shared" si="45"/>
        <v>0</v>
      </c>
      <c r="R721" s="258" t="s">
        <v>300</v>
      </c>
      <c r="S721" s="271"/>
      <c r="U721" s="253"/>
    </row>
    <row r="722" spans="1:21" ht="12.75">
      <c r="A722" s="116">
        <f t="shared" si="46"/>
        <v>716</v>
      </c>
      <c r="B722" s="9" t="s">
        <v>30</v>
      </c>
      <c r="C722" s="9">
        <v>10198</v>
      </c>
      <c r="D722" s="122"/>
      <c r="E722" s="115"/>
      <c r="F722" s="115"/>
      <c r="G722" s="115"/>
      <c r="H722" s="115"/>
      <c r="I722" s="115"/>
      <c r="J722" s="115"/>
      <c r="K722" s="114"/>
      <c r="L722" s="114"/>
      <c r="M722" s="114"/>
      <c r="N722" s="119"/>
      <c r="O722" s="119"/>
      <c r="P722" s="119"/>
      <c r="Q722" s="115">
        <f t="shared" si="45"/>
        <v>0</v>
      </c>
      <c r="R722" s="258" t="s">
        <v>300</v>
      </c>
      <c r="S722" s="271"/>
      <c r="U722" s="253"/>
    </row>
    <row r="723" spans="1:21" ht="12.75">
      <c r="A723" s="116">
        <f t="shared" si="46"/>
        <v>717</v>
      </c>
      <c r="B723" s="9" t="s">
        <v>31</v>
      </c>
      <c r="C723" s="12">
        <v>10199</v>
      </c>
      <c r="D723" s="122"/>
      <c r="E723" s="115"/>
      <c r="F723" s="115"/>
      <c r="G723" s="115"/>
      <c r="H723" s="115"/>
      <c r="I723" s="115"/>
      <c r="J723" s="115"/>
      <c r="K723" s="114"/>
      <c r="L723" s="114"/>
      <c r="M723" s="114"/>
      <c r="N723" s="119"/>
      <c r="O723" s="119"/>
      <c r="P723" s="119"/>
      <c r="Q723" s="115">
        <f t="shared" si="45"/>
        <v>0</v>
      </c>
      <c r="R723" s="258" t="s">
        <v>300</v>
      </c>
      <c r="S723" s="271"/>
      <c r="U723" s="253"/>
    </row>
    <row r="724" spans="1:21" ht="12.75">
      <c r="A724" s="116">
        <f t="shared" si="46"/>
        <v>718</v>
      </c>
      <c r="B724" s="9" t="s">
        <v>32</v>
      </c>
      <c r="C724" s="9">
        <v>10200</v>
      </c>
      <c r="D724" s="122"/>
      <c r="E724" s="115"/>
      <c r="F724" s="115"/>
      <c r="G724" s="115"/>
      <c r="H724" s="115"/>
      <c r="I724" s="115"/>
      <c r="J724" s="115"/>
      <c r="K724" s="114"/>
      <c r="L724" s="114"/>
      <c r="M724" s="114"/>
      <c r="N724" s="119"/>
      <c r="O724" s="119"/>
      <c r="P724" s="119"/>
      <c r="Q724" s="115">
        <f t="shared" si="45"/>
        <v>0</v>
      </c>
      <c r="R724" s="258" t="s">
        <v>300</v>
      </c>
      <c r="S724" s="271"/>
      <c r="U724" s="253"/>
    </row>
    <row r="725" spans="1:21" ht="12.75">
      <c r="A725" s="116">
        <f t="shared" si="46"/>
        <v>719</v>
      </c>
      <c r="B725" s="9" t="s">
        <v>33</v>
      </c>
      <c r="C725" s="9">
        <v>10201</v>
      </c>
      <c r="D725" s="122"/>
      <c r="E725" s="115"/>
      <c r="F725" s="115"/>
      <c r="G725" s="115"/>
      <c r="H725" s="115"/>
      <c r="I725" s="115"/>
      <c r="J725" s="115"/>
      <c r="K725" s="114"/>
      <c r="L725" s="114"/>
      <c r="M725" s="114"/>
      <c r="N725" s="119"/>
      <c r="O725" s="119"/>
      <c r="P725" s="119"/>
      <c r="Q725" s="115">
        <f t="shared" si="45"/>
        <v>0</v>
      </c>
      <c r="R725" s="258" t="s">
        <v>300</v>
      </c>
      <c r="S725" s="271"/>
      <c r="U725" s="253"/>
    </row>
    <row r="726" spans="1:21" ht="12.75">
      <c r="A726" s="116">
        <f t="shared" si="46"/>
        <v>720</v>
      </c>
      <c r="B726" s="9" t="s">
        <v>34</v>
      </c>
      <c r="C726" s="9">
        <v>10202</v>
      </c>
      <c r="D726" s="122"/>
      <c r="E726" s="115"/>
      <c r="F726" s="115"/>
      <c r="G726" s="115"/>
      <c r="H726" s="115"/>
      <c r="I726" s="115"/>
      <c r="J726" s="115"/>
      <c r="K726" s="114"/>
      <c r="L726" s="114"/>
      <c r="M726" s="114"/>
      <c r="N726" s="119"/>
      <c r="O726" s="119"/>
      <c r="P726" s="119"/>
      <c r="Q726" s="115">
        <f t="shared" si="45"/>
        <v>0</v>
      </c>
      <c r="R726" s="258" t="s">
        <v>300</v>
      </c>
      <c r="S726" s="271"/>
      <c r="U726" s="253"/>
    </row>
    <row r="727" spans="1:21" ht="12.75">
      <c r="A727" s="116">
        <f t="shared" si="46"/>
        <v>721</v>
      </c>
      <c r="B727" s="9" t="s">
        <v>35</v>
      </c>
      <c r="C727" s="12">
        <v>10203</v>
      </c>
      <c r="D727" s="122"/>
      <c r="E727" s="115"/>
      <c r="F727" s="115"/>
      <c r="G727" s="115"/>
      <c r="H727" s="115"/>
      <c r="I727" s="115"/>
      <c r="J727" s="115"/>
      <c r="K727" s="114"/>
      <c r="L727" s="114"/>
      <c r="M727" s="114"/>
      <c r="N727" s="119"/>
      <c r="O727" s="119"/>
      <c r="P727" s="119"/>
      <c r="Q727" s="115">
        <f t="shared" si="45"/>
        <v>0</v>
      </c>
      <c r="R727" s="258" t="s">
        <v>300</v>
      </c>
      <c r="S727" s="271"/>
      <c r="U727" s="253"/>
    </row>
    <row r="728" spans="1:21" ht="12.75">
      <c r="A728" s="116">
        <f t="shared" si="46"/>
        <v>722</v>
      </c>
      <c r="B728" s="9" t="s">
        <v>36</v>
      </c>
      <c r="C728" s="9">
        <v>10204</v>
      </c>
      <c r="D728" s="122"/>
      <c r="E728" s="115"/>
      <c r="F728" s="115"/>
      <c r="G728" s="115"/>
      <c r="H728" s="115"/>
      <c r="I728" s="115"/>
      <c r="J728" s="115"/>
      <c r="K728" s="114"/>
      <c r="L728" s="114"/>
      <c r="M728" s="114"/>
      <c r="N728" s="119"/>
      <c r="O728" s="119"/>
      <c r="P728" s="119"/>
      <c r="Q728" s="115">
        <f t="shared" si="45"/>
        <v>0</v>
      </c>
      <c r="R728" s="258" t="s">
        <v>300</v>
      </c>
      <c r="S728" s="271"/>
      <c r="U728" s="253"/>
    </row>
    <row r="729" spans="1:21" ht="12.75">
      <c r="A729" s="116">
        <f t="shared" si="46"/>
        <v>723</v>
      </c>
      <c r="B729" s="9" t="s">
        <v>37</v>
      </c>
      <c r="C729" s="9">
        <v>10205</v>
      </c>
      <c r="D729" s="122"/>
      <c r="E729" s="115"/>
      <c r="F729" s="115"/>
      <c r="G729" s="115"/>
      <c r="H729" s="115"/>
      <c r="I729" s="115"/>
      <c r="J729" s="115"/>
      <c r="K729" s="114"/>
      <c r="L729" s="114"/>
      <c r="M729" s="114"/>
      <c r="N729" s="119"/>
      <c r="O729" s="119"/>
      <c r="P729" s="119"/>
      <c r="Q729" s="115">
        <f t="shared" si="45"/>
        <v>0</v>
      </c>
      <c r="R729" s="258" t="s">
        <v>300</v>
      </c>
      <c r="S729" s="271"/>
      <c r="U729" s="253"/>
    </row>
    <row r="730" spans="1:21" ht="12.75">
      <c r="A730" s="116">
        <f t="shared" si="46"/>
        <v>724</v>
      </c>
      <c r="B730" s="9" t="s">
        <v>38</v>
      </c>
      <c r="C730" s="9">
        <v>10206</v>
      </c>
      <c r="D730" s="122"/>
      <c r="E730" s="115"/>
      <c r="F730" s="115"/>
      <c r="G730" s="115"/>
      <c r="H730" s="115"/>
      <c r="I730" s="115"/>
      <c r="J730" s="115"/>
      <c r="K730" s="114"/>
      <c r="L730" s="114"/>
      <c r="M730" s="114"/>
      <c r="N730" s="119"/>
      <c r="O730" s="119"/>
      <c r="P730" s="119"/>
      <c r="Q730" s="115">
        <f t="shared" si="45"/>
        <v>0</v>
      </c>
      <c r="R730" s="258" t="s">
        <v>300</v>
      </c>
      <c r="S730" s="271"/>
      <c r="U730" s="253"/>
    </row>
    <row r="731" spans="1:21" ht="12.75">
      <c r="A731" s="116">
        <f t="shared" si="46"/>
        <v>725</v>
      </c>
      <c r="B731" s="9" t="s">
        <v>39</v>
      </c>
      <c r="C731" s="9">
        <v>10207</v>
      </c>
      <c r="D731" s="122"/>
      <c r="E731" s="115"/>
      <c r="F731" s="115"/>
      <c r="G731" s="115"/>
      <c r="H731" s="115"/>
      <c r="I731" s="115"/>
      <c r="J731" s="115"/>
      <c r="K731" s="114"/>
      <c r="L731" s="114"/>
      <c r="M731" s="114"/>
      <c r="N731" s="119"/>
      <c r="O731" s="119"/>
      <c r="P731" s="119"/>
      <c r="Q731" s="115">
        <f t="shared" si="45"/>
        <v>0</v>
      </c>
      <c r="R731" s="258" t="s">
        <v>300</v>
      </c>
      <c r="S731" s="271"/>
      <c r="U731" s="253"/>
    </row>
    <row r="732" spans="1:21" ht="12.75">
      <c r="A732" s="116">
        <f t="shared" si="46"/>
        <v>726</v>
      </c>
      <c r="B732" s="9" t="s">
        <v>40</v>
      </c>
      <c r="C732" s="9">
        <v>10208</v>
      </c>
      <c r="D732" s="122"/>
      <c r="E732" s="115"/>
      <c r="F732" s="115"/>
      <c r="G732" s="115"/>
      <c r="H732" s="115"/>
      <c r="I732" s="115"/>
      <c r="J732" s="115"/>
      <c r="K732" s="114"/>
      <c r="L732" s="114"/>
      <c r="M732" s="114"/>
      <c r="N732" s="119"/>
      <c r="O732" s="119"/>
      <c r="P732" s="119"/>
      <c r="Q732" s="115">
        <f t="shared" si="45"/>
        <v>0</v>
      </c>
      <c r="R732" s="258" t="s">
        <v>300</v>
      </c>
      <c r="S732" s="271"/>
      <c r="U732" s="253"/>
    </row>
    <row r="733" spans="1:21" ht="12.75">
      <c r="A733" s="116">
        <f t="shared" si="46"/>
        <v>727</v>
      </c>
      <c r="B733" s="9" t="s">
        <v>41</v>
      </c>
      <c r="C733" s="9">
        <v>10209</v>
      </c>
      <c r="D733" s="122"/>
      <c r="E733" s="115"/>
      <c r="F733" s="115"/>
      <c r="G733" s="115"/>
      <c r="H733" s="115"/>
      <c r="I733" s="115"/>
      <c r="J733" s="115"/>
      <c r="K733" s="114"/>
      <c r="L733" s="114"/>
      <c r="M733" s="114"/>
      <c r="N733" s="119"/>
      <c r="O733" s="119"/>
      <c r="P733" s="119"/>
      <c r="Q733" s="115">
        <f t="shared" si="45"/>
        <v>0</v>
      </c>
      <c r="R733" s="258" t="s">
        <v>300</v>
      </c>
      <c r="S733" s="271"/>
      <c r="U733" s="253"/>
    </row>
    <row r="734" spans="1:21" ht="12.75">
      <c r="A734" s="116">
        <f t="shared" si="46"/>
        <v>728</v>
      </c>
      <c r="B734" s="9" t="s">
        <v>42</v>
      </c>
      <c r="C734" s="12">
        <v>10210</v>
      </c>
      <c r="D734" s="122"/>
      <c r="E734" s="115"/>
      <c r="F734" s="115"/>
      <c r="G734" s="115"/>
      <c r="H734" s="115"/>
      <c r="I734" s="115"/>
      <c r="J734" s="115"/>
      <c r="K734" s="114"/>
      <c r="L734" s="114"/>
      <c r="M734" s="114"/>
      <c r="N734" s="119"/>
      <c r="O734" s="119"/>
      <c r="P734" s="119"/>
      <c r="Q734" s="115">
        <f t="shared" si="45"/>
        <v>0</v>
      </c>
      <c r="R734" s="258" t="s">
        <v>300</v>
      </c>
      <c r="S734" s="271"/>
      <c r="U734" s="253"/>
    </row>
    <row r="735" spans="1:21" ht="12.75">
      <c r="A735" s="116">
        <f t="shared" si="46"/>
        <v>729</v>
      </c>
      <c r="B735" s="9" t="s">
        <v>43</v>
      </c>
      <c r="C735" s="9">
        <v>10211</v>
      </c>
      <c r="D735" s="122"/>
      <c r="E735" s="115"/>
      <c r="F735" s="115"/>
      <c r="G735" s="115"/>
      <c r="H735" s="115"/>
      <c r="I735" s="115"/>
      <c r="J735" s="115"/>
      <c r="K735" s="114"/>
      <c r="L735" s="114"/>
      <c r="M735" s="114"/>
      <c r="N735" s="119"/>
      <c r="O735" s="119"/>
      <c r="P735" s="119"/>
      <c r="Q735" s="115">
        <f t="shared" si="45"/>
        <v>0</v>
      </c>
      <c r="R735" s="258" t="s">
        <v>300</v>
      </c>
      <c r="S735" s="271"/>
      <c r="U735" s="253"/>
    </row>
    <row r="736" spans="1:21" ht="12.75">
      <c r="A736" s="116">
        <f t="shared" si="46"/>
        <v>730</v>
      </c>
      <c r="B736" s="9" t="s">
        <v>44</v>
      </c>
      <c r="C736" s="9">
        <v>10212</v>
      </c>
      <c r="D736" s="122"/>
      <c r="E736" s="115"/>
      <c r="F736" s="115"/>
      <c r="G736" s="115"/>
      <c r="H736" s="115"/>
      <c r="I736" s="115"/>
      <c r="J736" s="115"/>
      <c r="K736" s="114"/>
      <c r="L736" s="114"/>
      <c r="M736" s="114"/>
      <c r="N736" s="119"/>
      <c r="O736" s="119"/>
      <c r="P736" s="119"/>
      <c r="Q736" s="115">
        <f t="shared" si="45"/>
        <v>0</v>
      </c>
      <c r="R736" s="258" t="s">
        <v>300</v>
      </c>
      <c r="S736" s="271"/>
      <c r="U736" s="253"/>
    </row>
    <row r="737" spans="1:21" ht="12.75">
      <c r="A737" s="116">
        <f t="shared" si="46"/>
        <v>731</v>
      </c>
      <c r="B737" s="9" t="s">
        <v>45</v>
      </c>
      <c r="C737" s="9">
        <v>10213</v>
      </c>
      <c r="D737" s="122"/>
      <c r="E737" s="115"/>
      <c r="F737" s="115"/>
      <c r="G737" s="115"/>
      <c r="H737" s="115"/>
      <c r="I737" s="115"/>
      <c r="J737" s="115"/>
      <c r="K737" s="114"/>
      <c r="L737" s="114"/>
      <c r="M737" s="114"/>
      <c r="N737" s="119"/>
      <c r="O737" s="119"/>
      <c r="P737" s="119"/>
      <c r="Q737" s="115">
        <f t="shared" si="45"/>
        <v>0</v>
      </c>
      <c r="R737" s="258" t="s">
        <v>300</v>
      </c>
      <c r="S737" s="271"/>
      <c r="U737" s="253"/>
    </row>
    <row r="738" spans="1:21" ht="12.75">
      <c r="A738" s="116">
        <f t="shared" si="46"/>
        <v>732</v>
      </c>
      <c r="B738" s="9" t="s">
        <v>46</v>
      </c>
      <c r="C738" s="12">
        <v>10214</v>
      </c>
      <c r="D738" s="122"/>
      <c r="E738" s="115"/>
      <c r="F738" s="115"/>
      <c r="G738" s="115"/>
      <c r="H738" s="115"/>
      <c r="I738" s="115"/>
      <c r="J738" s="115"/>
      <c r="K738" s="114"/>
      <c r="L738" s="114"/>
      <c r="M738" s="114"/>
      <c r="N738" s="119"/>
      <c r="O738" s="119"/>
      <c r="P738" s="119"/>
      <c r="Q738" s="115">
        <f t="shared" si="45"/>
        <v>0</v>
      </c>
      <c r="R738" s="258" t="s">
        <v>300</v>
      </c>
      <c r="S738" s="271"/>
      <c r="U738" s="253"/>
    </row>
    <row r="739" spans="1:21" ht="12.75">
      <c r="A739" s="116">
        <f t="shared" si="46"/>
        <v>733</v>
      </c>
      <c r="B739" s="9" t="s">
        <v>47</v>
      </c>
      <c r="C739" s="9">
        <v>10215</v>
      </c>
      <c r="D739" s="122"/>
      <c r="E739" s="115"/>
      <c r="F739" s="115"/>
      <c r="G739" s="115"/>
      <c r="H739" s="115"/>
      <c r="I739" s="115"/>
      <c r="J739" s="115"/>
      <c r="K739" s="114"/>
      <c r="L739" s="114"/>
      <c r="M739" s="114"/>
      <c r="N739" s="119"/>
      <c r="O739" s="119"/>
      <c r="P739" s="119"/>
      <c r="Q739" s="115">
        <f t="shared" si="45"/>
        <v>0</v>
      </c>
      <c r="R739" s="258" t="s">
        <v>300</v>
      </c>
      <c r="S739" s="271"/>
      <c r="U739" s="253"/>
    </row>
    <row r="740" spans="1:21" ht="12.75">
      <c r="A740" s="116">
        <f t="shared" si="46"/>
        <v>734</v>
      </c>
      <c r="B740" s="9" t="s">
        <v>48</v>
      </c>
      <c r="C740" s="9">
        <v>10216</v>
      </c>
      <c r="D740" s="122"/>
      <c r="E740" s="115"/>
      <c r="F740" s="115"/>
      <c r="G740" s="115"/>
      <c r="H740" s="115"/>
      <c r="I740" s="115"/>
      <c r="J740" s="115"/>
      <c r="K740" s="114"/>
      <c r="L740" s="114"/>
      <c r="M740" s="114"/>
      <c r="N740" s="119"/>
      <c r="O740" s="119"/>
      <c r="P740" s="119"/>
      <c r="Q740" s="115">
        <f t="shared" si="45"/>
        <v>0</v>
      </c>
      <c r="R740" s="258" t="s">
        <v>300</v>
      </c>
      <c r="S740" s="271"/>
      <c r="U740" s="253"/>
    </row>
    <row r="741" spans="1:21" ht="12.75">
      <c r="A741" s="116">
        <f t="shared" si="46"/>
        <v>735</v>
      </c>
      <c r="B741" s="9" t="s">
        <v>49</v>
      </c>
      <c r="C741" s="9">
        <v>10217</v>
      </c>
      <c r="D741" s="122"/>
      <c r="E741" s="115"/>
      <c r="F741" s="115"/>
      <c r="G741" s="115"/>
      <c r="H741" s="115"/>
      <c r="I741" s="115"/>
      <c r="J741" s="115"/>
      <c r="K741" s="114"/>
      <c r="L741" s="114"/>
      <c r="M741" s="114"/>
      <c r="N741" s="119"/>
      <c r="O741" s="119"/>
      <c r="P741" s="119"/>
      <c r="Q741" s="115">
        <f t="shared" si="45"/>
        <v>0</v>
      </c>
      <c r="R741" s="258" t="s">
        <v>300</v>
      </c>
      <c r="S741" s="271"/>
      <c r="U741" s="253"/>
    </row>
    <row r="742" spans="1:21" ht="12.75">
      <c r="A742" s="116">
        <f t="shared" si="46"/>
        <v>736</v>
      </c>
      <c r="B742" s="9" t="s">
        <v>50</v>
      </c>
      <c r="C742" s="9">
        <v>10218</v>
      </c>
      <c r="D742" s="122"/>
      <c r="E742" s="115"/>
      <c r="F742" s="115"/>
      <c r="G742" s="115"/>
      <c r="H742" s="115"/>
      <c r="I742" s="115"/>
      <c r="J742" s="115"/>
      <c r="K742" s="114"/>
      <c r="L742" s="114"/>
      <c r="M742" s="114"/>
      <c r="N742" s="119"/>
      <c r="O742" s="119"/>
      <c r="P742" s="119"/>
      <c r="Q742" s="115">
        <f t="shared" si="45"/>
        <v>0</v>
      </c>
      <c r="R742" s="258" t="s">
        <v>300</v>
      </c>
      <c r="S742" s="271"/>
      <c r="U742" s="253"/>
    </row>
    <row r="743" spans="1:21" ht="12.75">
      <c r="A743" s="116">
        <f t="shared" si="46"/>
        <v>737</v>
      </c>
      <c r="B743" s="9" t="s">
        <v>51</v>
      </c>
      <c r="C743" s="9">
        <v>10219</v>
      </c>
      <c r="D743" s="122"/>
      <c r="E743" s="115"/>
      <c r="F743" s="115"/>
      <c r="G743" s="115"/>
      <c r="H743" s="115"/>
      <c r="I743" s="115"/>
      <c r="J743" s="115"/>
      <c r="K743" s="114"/>
      <c r="L743" s="114"/>
      <c r="M743" s="114"/>
      <c r="N743" s="119"/>
      <c r="O743" s="119"/>
      <c r="P743" s="119"/>
      <c r="Q743" s="115">
        <f t="shared" si="45"/>
        <v>0</v>
      </c>
      <c r="R743" s="258" t="s">
        <v>300</v>
      </c>
      <c r="S743" s="271"/>
      <c r="U743" s="253"/>
    </row>
    <row r="744" spans="1:21" ht="12.75">
      <c r="A744" s="116">
        <f t="shared" si="46"/>
        <v>738</v>
      </c>
      <c r="B744" s="9" t="s">
        <v>52</v>
      </c>
      <c r="C744" s="9">
        <v>10220</v>
      </c>
      <c r="D744" s="122"/>
      <c r="E744" s="115"/>
      <c r="F744" s="115"/>
      <c r="G744" s="115"/>
      <c r="H744" s="115"/>
      <c r="I744" s="115"/>
      <c r="J744" s="115"/>
      <c r="K744" s="114"/>
      <c r="L744" s="114"/>
      <c r="M744" s="114"/>
      <c r="N744" s="119"/>
      <c r="O744" s="119"/>
      <c r="P744" s="119"/>
      <c r="Q744" s="115">
        <f t="shared" si="45"/>
        <v>0</v>
      </c>
      <c r="R744" s="258" t="s">
        <v>300</v>
      </c>
      <c r="S744" s="271"/>
      <c r="U744" s="253"/>
    </row>
    <row r="745" spans="1:21" ht="12.75">
      <c r="A745" s="116">
        <f t="shared" si="46"/>
        <v>739</v>
      </c>
      <c r="B745" s="9" t="s">
        <v>53</v>
      </c>
      <c r="C745" s="12">
        <v>10221</v>
      </c>
      <c r="D745" s="122"/>
      <c r="E745" s="115"/>
      <c r="F745" s="115"/>
      <c r="G745" s="115"/>
      <c r="H745" s="115"/>
      <c r="I745" s="115"/>
      <c r="J745" s="115"/>
      <c r="K745" s="114"/>
      <c r="L745" s="114"/>
      <c r="M745" s="114"/>
      <c r="N745" s="119"/>
      <c r="O745" s="119"/>
      <c r="P745" s="119"/>
      <c r="Q745" s="115">
        <f t="shared" si="45"/>
        <v>0</v>
      </c>
      <c r="R745" s="258" t="s">
        <v>300</v>
      </c>
      <c r="S745" s="271"/>
      <c r="U745" s="253"/>
    </row>
    <row r="746" spans="1:21" ht="12.75">
      <c r="A746" s="116">
        <f t="shared" si="46"/>
        <v>740</v>
      </c>
      <c r="B746" s="9" t="s">
        <v>54</v>
      </c>
      <c r="C746" s="9">
        <v>10222</v>
      </c>
      <c r="D746" s="122"/>
      <c r="E746" s="115"/>
      <c r="F746" s="115"/>
      <c r="G746" s="115"/>
      <c r="H746" s="115"/>
      <c r="I746" s="115"/>
      <c r="J746" s="115"/>
      <c r="K746" s="114"/>
      <c r="L746" s="114"/>
      <c r="M746" s="114"/>
      <c r="N746" s="119"/>
      <c r="O746" s="119"/>
      <c r="P746" s="119"/>
      <c r="Q746" s="115">
        <f t="shared" si="45"/>
        <v>0</v>
      </c>
      <c r="R746" s="258" t="s">
        <v>300</v>
      </c>
      <c r="S746" s="271"/>
      <c r="U746" s="253"/>
    </row>
    <row r="747" spans="1:21" ht="12.75">
      <c r="A747" s="116">
        <f t="shared" si="46"/>
        <v>741</v>
      </c>
      <c r="B747" s="9" t="s">
        <v>55</v>
      </c>
      <c r="C747" s="9">
        <v>10223</v>
      </c>
      <c r="D747" s="122"/>
      <c r="E747" s="115"/>
      <c r="F747" s="115"/>
      <c r="G747" s="115"/>
      <c r="H747" s="115"/>
      <c r="I747" s="115"/>
      <c r="J747" s="115"/>
      <c r="K747" s="114"/>
      <c r="L747" s="114"/>
      <c r="M747" s="114"/>
      <c r="N747" s="119"/>
      <c r="O747" s="119"/>
      <c r="P747" s="119"/>
      <c r="Q747" s="115">
        <f t="shared" si="45"/>
        <v>0</v>
      </c>
      <c r="R747" s="258" t="s">
        <v>300</v>
      </c>
      <c r="S747" s="271"/>
      <c r="U747" s="253"/>
    </row>
    <row r="748" spans="1:21" ht="12.75">
      <c r="A748" s="116">
        <f t="shared" si="46"/>
        <v>742</v>
      </c>
      <c r="B748" s="9" t="s">
        <v>56</v>
      </c>
      <c r="C748" s="9">
        <v>10224</v>
      </c>
      <c r="D748" s="122"/>
      <c r="E748" s="115"/>
      <c r="F748" s="115"/>
      <c r="G748" s="115"/>
      <c r="H748" s="115"/>
      <c r="I748" s="115"/>
      <c r="J748" s="115"/>
      <c r="K748" s="114"/>
      <c r="L748" s="114"/>
      <c r="M748" s="183">
        <f>19.7*2.83*3.84</f>
        <v>214.08383999999998</v>
      </c>
      <c r="N748" s="183">
        <f>19.7*2.83*3.84</f>
        <v>214.08383999999998</v>
      </c>
      <c r="O748" s="183">
        <f>19.7*2.83*3.84</f>
        <v>214.08383999999998</v>
      </c>
      <c r="P748" s="183">
        <f>19.7*2.83*3.84</f>
        <v>214.08383999999998</v>
      </c>
      <c r="Q748" s="115">
        <f t="shared" si="45"/>
        <v>856.3353599999999</v>
      </c>
      <c r="R748" s="108"/>
      <c r="S748" s="271"/>
      <c r="U748" s="253"/>
    </row>
    <row r="749" spans="1:21" ht="12.75">
      <c r="A749" s="116">
        <f t="shared" si="46"/>
        <v>743</v>
      </c>
      <c r="B749" s="9" t="s">
        <v>57</v>
      </c>
      <c r="C749" s="12">
        <v>10225</v>
      </c>
      <c r="D749" s="122"/>
      <c r="E749" s="115"/>
      <c r="F749" s="115"/>
      <c r="G749" s="115"/>
      <c r="H749" s="115"/>
      <c r="I749" s="115"/>
      <c r="J749" s="115"/>
      <c r="K749" s="114"/>
      <c r="L749" s="114"/>
      <c r="M749" s="169">
        <v>3743.02</v>
      </c>
      <c r="N749" s="169">
        <v>392.15</v>
      </c>
      <c r="O749" s="169">
        <v>401.58</v>
      </c>
      <c r="P749" s="300"/>
      <c r="Q749" s="115">
        <f t="shared" si="45"/>
        <v>4536.75</v>
      </c>
      <c r="R749" s="291" t="s">
        <v>411</v>
      </c>
      <c r="S749" s="270"/>
      <c r="U749" s="253"/>
    </row>
    <row r="750" spans="1:21" ht="12.75">
      <c r="A750" s="116">
        <f t="shared" si="46"/>
        <v>744</v>
      </c>
      <c r="B750" s="9" t="s">
        <v>58</v>
      </c>
      <c r="C750" s="9">
        <v>10226</v>
      </c>
      <c r="D750" s="122"/>
      <c r="E750" s="115"/>
      <c r="F750" s="115"/>
      <c r="G750" s="115"/>
      <c r="H750" s="115"/>
      <c r="I750" s="115"/>
      <c r="J750" s="115"/>
      <c r="K750" s="114"/>
      <c r="L750" s="114"/>
      <c r="M750" s="183">
        <f>133.6*3.4*3.84</f>
        <v>1744.2815999999998</v>
      </c>
      <c r="N750" s="183">
        <f>133.6*3.4*3.84</f>
        <v>1744.2815999999998</v>
      </c>
      <c r="O750" s="183">
        <f>133.6*3.4*3.84</f>
        <v>1744.2815999999998</v>
      </c>
      <c r="P750" s="183">
        <f>133.6*3.4*3.84</f>
        <v>1744.2815999999998</v>
      </c>
      <c r="Q750" s="115">
        <f t="shared" si="45"/>
        <v>6977.126399999999</v>
      </c>
      <c r="R750" s="108"/>
      <c r="S750" s="271"/>
      <c r="U750" s="253"/>
    </row>
    <row r="751" spans="1:21" ht="12.75">
      <c r="A751" s="116">
        <f t="shared" si="46"/>
        <v>745</v>
      </c>
      <c r="B751" s="9" t="s">
        <v>59</v>
      </c>
      <c r="C751" s="9">
        <v>10227</v>
      </c>
      <c r="D751" s="122"/>
      <c r="E751" s="115"/>
      <c r="F751" s="115"/>
      <c r="G751" s="115"/>
      <c r="H751" s="115"/>
      <c r="I751" s="115"/>
      <c r="J751" s="115"/>
      <c r="K751" s="114"/>
      <c r="L751" s="114"/>
      <c r="M751" s="183">
        <f>57.6*3.4*3.84</f>
        <v>752.0255999999999</v>
      </c>
      <c r="N751" s="183">
        <f>57.6*3.4*3.84</f>
        <v>752.0255999999999</v>
      </c>
      <c r="O751" s="183">
        <f>57.6*3.4*3.84</f>
        <v>752.0255999999999</v>
      </c>
      <c r="P751" s="183">
        <f>57.6*3.4*3.84</f>
        <v>752.0255999999999</v>
      </c>
      <c r="Q751" s="115">
        <f t="shared" si="45"/>
        <v>3008.1023999999998</v>
      </c>
      <c r="R751" s="108"/>
      <c r="S751" s="271"/>
      <c r="U751" s="253"/>
    </row>
    <row r="752" spans="1:21" ht="12.75">
      <c r="A752" s="116">
        <f t="shared" si="46"/>
        <v>746</v>
      </c>
      <c r="B752" s="9" t="s">
        <v>60</v>
      </c>
      <c r="C752" s="9">
        <v>10228</v>
      </c>
      <c r="D752" s="122"/>
      <c r="E752" s="115"/>
      <c r="F752" s="115"/>
      <c r="G752" s="115"/>
      <c r="H752" s="115"/>
      <c r="I752" s="115"/>
      <c r="J752" s="115"/>
      <c r="K752" s="114"/>
      <c r="L752" s="114"/>
      <c r="M752" s="183">
        <f>58*3.4*3.84</f>
        <v>757.2479999999999</v>
      </c>
      <c r="N752" s="183">
        <f>58*3.4*3.84</f>
        <v>757.2479999999999</v>
      </c>
      <c r="O752" s="183">
        <f>58*3.4*3.84</f>
        <v>757.2479999999999</v>
      </c>
      <c r="P752" s="183">
        <f>58*3.4*3.84</f>
        <v>757.2479999999999</v>
      </c>
      <c r="Q752" s="115">
        <f t="shared" si="45"/>
        <v>3028.9919999999997</v>
      </c>
      <c r="R752" s="108"/>
      <c r="S752" s="271"/>
      <c r="U752" s="253"/>
    </row>
    <row r="753" spans="1:21" ht="12.75">
      <c r="A753" s="116">
        <f t="shared" si="46"/>
        <v>747</v>
      </c>
      <c r="B753" s="9" t="s">
        <v>61</v>
      </c>
      <c r="C753" s="9">
        <v>10229</v>
      </c>
      <c r="D753" s="122"/>
      <c r="E753" s="115"/>
      <c r="F753" s="115"/>
      <c r="G753" s="115"/>
      <c r="H753" s="115"/>
      <c r="I753" s="115"/>
      <c r="J753" s="115"/>
      <c r="K753" s="114"/>
      <c r="L753" s="114"/>
      <c r="M753" s="183">
        <f>43.9*2.83*3.84</f>
        <v>477.07007999999996</v>
      </c>
      <c r="N753" s="183">
        <f>43.9*2.83*3.84</f>
        <v>477.07007999999996</v>
      </c>
      <c r="O753" s="183">
        <f>43.9*2.83*3.84</f>
        <v>477.07007999999996</v>
      </c>
      <c r="P753" s="183">
        <f>43.9*2.83*3.84</f>
        <v>477.07007999999996</v>
      </c>
      <c r="Q753" s="115">
        <f aca="true" t="shared" si="47" ref="Q753:Q760">E753+F753+G753+H753+I753+J753+K753+L753+M753+N753+O753+P753</f>
        <v>1908.2803199999998</v>
      </c>
      <c r="R753" s="108"/>
      <c r="S753" s="271"/>
      <c r="U753" s="253"/>
    </row>
    <row r="754" spans="1:21" ht="12.75">
      <c r="A754" s="116">
        <f t="shared" si="46"/>
        <v>748</v>
      </c>
      <c r="B754" s="9" t="s">
        <v>62</v>
      </c>
      <c r="C754" s="9">
        <v>10230</v>
      </c>
      <c r="D754" s="122"/>
      <c r="E754" s="115"/>
      <c r="F754" s="115"/>
      <c r="G754" s="115"/>
      <c r="H754" s="115"/>
      <c r="I754" s="115"/>
      <c r="J754" s="115"/>
      <c r="K754" s="114"/>
      <c r="L754" s="114"/>
      <c r="M754" s="183">
        <f>41.8*2.83*3.84</f>
        <v>454.24895999999995</v>
      </c>
      <c r="N754" s="183">
        <f>41.8*2.83*3.84</f>
        <v>454.24895999999995</v>
      </c>
      <c r="O754" s="183">
        <f>41.8*2.83*3.84</f>
        <v>454.24895999999995</v>
      </c>
      <c r="P754" s="183">
        <f>41.8*2.83*3.84</f>
        <v>454.24895999999995</v>
      </c>
      <c r="Q754" s="115">
        <f t="shared" si="47"/>
        <v>1816.9958399999998</v>
      </c>
      <c r="R754" s="108"/>
      <c r="S754" s="271"/>
      <c r="U754" s="253"/>
    </row>
    <row r="755" spans="1:21" ht="12.75">
      <c r="A755" s="116">
        <f t="shared" si="46"/>
        <v>749</v>
      </c>
      <c r="B755" s="9" t="s">
        <v>63</v>
      </c>
      <c r="C755" s="9">
        <v>10231</v>
      </c>
      <c r="D755" s="122"/>
      <c r="E755" s="115"/>
      <c r="F755" s="115"/>
      <c r="G755" s="115"/>
      <c r="H755" s="115"/>
      <c r="I755" s="115"/>
      <c r="J755" s="115"/>
      <c r="K755" s="114"/>
      <c r="L755" s="114"/>
      <c r="M755" s="183">
        <f>24*2.83*3.84</f>
        <v>260.8128</v>
      </c>
      <c r="N755" s="183">
        <f>24*2.83*3.84</f>
        <v>260.8128</v>
      </c>
      <c r="O755" s="183">
        <f>24*2.83*3.84</f>
        <v>260.8128</v>
      </c>
      <c r="P755" s="183">
        <f>24*2.83*3.84</f>
        <v>260.8128</v>
      </c>
      <c r="Q755" s="115">
        <f t="shared" si="47"/>
        <v>1043.2512</v>
      </c>
      <c r="R755" s="108"/>
      <c r="S755" s="271"/>
      <c r="U755" s="253"/>
    </row>
    <row r="756" spans="1:21" ht="12.75">
      <c r="A756" s="116">
        <f t="shared" si="46"/>
        <v>750</v>
      </c>
      <c r="B756" s="9" t="s">
        <v>64</v>
      </c>
      <c r="C756" s="12">
        <v>10232</v>
      </c>
      <c r="D756" s="167"/>
      <c r="E756" s="170"/>
      <c r="F756" s="170"/>
      <c r="G756" s="170"/>
      <c r="H756" s="170"/>
      <c r="I756" s="170"/>
      <c r="J756" s="170"/>
      <c r="K756" s="169"/>
      <c r="L756" s="169"/>
      <c r="M756" s="183">
        <f>18*2.83*3.84</f>
        <v>195.60959999999997</v>
      </c>
      <c r="N756" s="183">
        <f>18*2.83*3.84</f>
        <v>195.60959999999997</v>
      </c>
      <c r="O756" s="183">
        <f>18*2.83*3.84</f>
        <v>195.60959999999997</v>
      </c>
      <c r="P756" s="183">
        <f>18*2.83*3.84</f>
        <v>195.60959999999997</v>
      </c>
      <c r="Q756" s="115">
        <f t="shared" si="47"/>
        <v>782.4383999999999</v>
      </c>
      <c r="R756" s="108"/>
      <c r="S756" s="271"/>
      <c r="U756" s="253"/>
    </row>
    <row r="757" spans="1:21" ht="12.75">
      <c r="A757" s="116">
        <f t="shared" si="46"/>
        <v>751</v>
      </c>
      <c r="B757" s="9" t="s">
        <v>65</v>
      </c>
      <c r="C757" s="9">
        <v>10233</v>
      </c>
      <c r="D757" s="122"/>
      <c r="E757" s="115"/>
      <c r="F757" s="115"/>
      <c r="G757" s="115"/>
      <c r="H757" s="115"/>
      <c r="I757" s="115"/>
      <c r="J757" s="115"/>
      <c r="K757" s="114"/>
      <c r="L757" s="114"/>
      <c r="M757" s="131">
        <f>19*2.83*3.84</f>
        <v>206.4768</v>
      </c>
      <c r="N757" s="131">
        <f>19*2.83*3.84</f>
        <v>206.4768</v>
      </c>
      <c r="O757" s="131">
        <f>19*2.83*3.84</f>
        <v>206.4768</v>
      </c>
      <c r="P757" s="131">
        <f>19*2.83*3.84</f>
        <v>206.4768</v>
      </c>
      <c r="Q757" s="115">
        <f t="shared" si="47"/>
        <v>825.9072</v>
      </c>
      <c r="R757" s="108"/>
      <c r="S757" s="271"/>
      <c r="U757" s="253"/>
    </row>
    <row r="758" spans="1:21" ht="12.75">
      <c r="A758" s="116">
        <f t="shared" si="46"/>
        <v>752</v>
      </c>
      <c r="B758" s="9" t="s">
        <v>68</v>
      </c>
      <c r="C758" s="9">
        <v>10234</v>
      </c>
      <c r="D758" s="122"/>
      <c r="E758" s="115"/>
      <c r="F758" s="115"/>
      <c r="G758" s="115"/>
      <c r="H758" s="115"/>
      <c r="I758" s="115"/>
      <c r="J758" s="115"/>
      <c r="K758" s="114"/>
      <c r="L758" s="114"/>
      <c r="M758" s="131">
        <f>25.8*2.83*3.84</f>
        <v>280.37376</v>
      </c>
      <c r="N758" s="131">
        <f>25.8*2.83*3.84</f>
        <v>280.37376</v>
      </c>
      <c r="O758" s="131">
        <f>25.8*2.83*3.84</f>
        <v>280.37376</v>
      </c>
      <c r="P758" s="114">
        <v>3878.4</v>
      </c>
      <c r="Q758" s="115">
        <f t="shared" si="47"/>
        <v>4719.52128</v>
      </c>
      <c r="R758" s="108"/>
      <c r="S758" s="271"/>
      <c r="U758" s="253"/>
    </row>
    <row r="759" spans="1:21" ht="12.75">
      <c r="A759" s="116">
        <f t="shared" si="46"/>
        <v>753</v>
      </c>
      <c r="B759" s="9" t="s">
        <v>69</v>
      </c>
      <c r="C759" s="12">
        <v>10235</v>
      </c>
      <c r="D759" s="122"/>
      <c r="E759" s="115"/>
      <c r="F759" s="115"/>
      <c r="G759" s="115"/>
      <c r="H759" s="115"/>
      <c r="I759" s="115"/>
      <c r="J759" s="115"/>
      <c r="K759" s="114"/>
      <c r="L759" s="114"/>
      <c r="M759" s="131">
        <f>26.9*2.83*3.84</f>
        <v>292.32768</v>
      </c>
      <c r="N759" s="131">
        <f>26.9*2.83*3.84</f>
        <v>292.32768</v>
      </c>
      <c r="O759" s="131">
        <f>26.9*2.83*3.84</f>
        <v>292.32768</v>
      </c>
      <c r="P759" s="114">
        <v>3916.8</v>
      </c>
      <c r="Q759" s="115">
        <f t="shared" si="47"/>
        <v>4793.78304</v>
      </c>
      <c r="R759" s="108"/>
      <c r="S759" s="271"/>
      <c r="U759" s="253"/>
    </row>
    <row r="760" spans="1:21" ht="13.5" thickBot="1">
      <c r="A760" s="116">
        <f t="shared" si="46"/>
        <v>754</v>
      </c>
      <c r="B760" s="9" t="s">
        <v>698</v>
      </c>
      <c r="C760" s="246"/>
      <c r="D760" s="122"/>
      <c r="E760" s="115"/>
      <c r="F760" s="115"/>
      <c r="G760" s="115"/>
      <c r="H760" s="115"/>
      <c r="I760" s="115"/>
      <c r="J760" s="115"/>
      <c r="K760" s="114"/>
      <c r="L760" s="114"/>
      <c r="M760" s="114">
        <v>2648.91</v>
      </c>
      <c r="N760" s="115"/>
      <c r="O760" s="115"/>
      <c r="P760" s="169">
        <v>0</v>
      </c>
      <c r="Q760" s="115">
        <f t="shared" si="47"/>
        <v>2648.91</v>
      </c>
      <c r="R760" s="291"/>
      <c r="S760" s="271"/>
      <c r="U760" s="253"/>
    </row>
    <row r="761" spans="1:19" ht="13.5" thickBot="1">
      <c r="A761" s="186"/>
      <c r="B761" s="187" t="s">
        <v>1227</v>
      </c>
      <c r="C761" s="188"/>
      <c r="D761" s="249"/>
      <c r="E761" s="251">
        <f aca="true" t="shared" si="48" ref="E761:P761">SUM(E7:E760)</f>
        <v>1386472.0880500008</v>
      </c>
      <c r="F761" s="191">
        <f t="shared" si="48"/>
        <v>1581426.4480499965</v>
      </c>
      <c r="G761" s="191">
        <f t="shared" si="48"/>
        <v>1127550.718050002</v>
      </c>
      <c r="H761" s="191">
        <f t="shared" si="48"/>
        <v>1134353.8030699985</v>
      </c>
      <c r="I761" s="191">
        <f t="shared" si="48"/>
        <v>1115619.1430700007</v>
      </c>
      <c r="J761" s="191">
        <f t="shared" si="48"/>
        <v>1315422.82456</v>
      </c>
      <c r="K761" s="191">
        <f t="shared" si="48"/>
        <v>1326987.1476800002</v>
      </c>
      <c r="L761" s="191">
        <f t="shared" si="48"/>
        <v>1144612.4846399992</v>
      </c>
      <c r="M761" s="191">
        <f t="shared" si="48"/>
        <v>1333300.8731199985</v>
      </c>
      <c r="N761" s="191">
        <f t="shared" si="48"/>
        <v>1684516.3765824009</v>
      </c>
      <c r="O761" s="191">
        <f t="shared" si="48"/>
        <v>1484629.8932000007</v>
      </c>
      <c r="P761" s="191">
        <f t="shared" si="48"/>
        <v>1556978.971920001</v>
      </c>
      <c r="Q761" s="250">
        <f>E761+F761+G761+H761+I761+J761+K761+L761+M761+N761+O761+P761</f>
        <v>16191870.771992397</v>
      </c>
      <c r="R761" s="108"/>
      <c r="S761" s="280"/>
    </row>
    <row r="762" spans="2:18" ht="12.75">
      <c r="B762" s="193" t="s">
        <v>309</v>
      </c>
      <c r="C762" s="194"/>
      <c r="D762" s="195"/>
      <c r="E762" s="199">
        <v>1140976.76</v>
      </c>
      <c r="F762" s="197">
        <v>1324716.49</v>
      </c>
      <c r="G762" s="198">
        <v>845415.34</v>
      </c>
      <c r="H762" s="198">
        <v>943774.32</v>
      </c>
      <c r="I762" s="198">
        <v>912754.98</v>
      </c>
      <c r="J762" s="198">
        <v>1066371.48</v>
      </c>
      <c r="K762" s="199">
        <v>1104667</v>
      </c>
      <c r="L762" s="198">
        <v>943344.05</v>
      </c>
      <c r="M762" s="198">
        <v>1182065.31</v>
      </c>
      <c r="N762" s="262">
        <v>1407140.98</v>
      </c>
      <c r="O762" s="198">
        <v>1234564.61</v>
      </c>
      <c r="P762" s="169">
        <v>1276395.49</v>
      </c>
      <c r="Q762" s="198">
        <f>E762+F762+G762+H762+I762+J762+K762+L762+M762+N762+O762+P762</f>
        <v>13382186.81</v>
      </c>
      <c r="R762" s="108"/>
    </row>
    <row r="763" spans="2:18" ht="12.75">
      <c r="B763" s="193" t="s">
        <v>276</v>
      </c>
      <c r="C763" s="121"/>
      <c r="D763" s="122"/>
      <c r="E763" s="200">
        <v>252387</v>
      </c>
      <c r="F763" s="200">
        <v>265573.6</v>
      </c>
      <c r="G763" s="200">
        <v>261555.8</v>
      </c>
      <c r="H763" s="200">
        <v>223023.2</v>
      </c>
      <c r="I763" s="200">
        <v>208620.8</v>
      </c>
      <c r="J763" s="200">
        <v>247058.6</v>
      </c>
      <c r="K763" s="252">
        <v>223127.6</v>
      </c>
      <c r="L763" s="200">
        <v>203301.6</v>
      </c>
      <c r="M763" s="200">
        <v>276878.6</v>
      </c>
      <c r="N763" s="263">
        <v>277610</v>
      </c>
      <c r="O763" s="200">
        <v>248869.2</v>
      </c>
      <c r="P763" s="169">
        <v>280579.76</v>
      </c>
      <c r="Q763" s="200">
        <f>E763+F763+G763+H763+I763+J763+K763+L763+M763+N763+O763+P763</f>
        <v>2968585.7600000007</v>
      </c>
      <c r="R763" s="108"/>
    </row>
    <row r="764" spans="2:19" s="201" customFormat="1" ht="12.75">
      <c r="B764" s="202" t="s">
        <v>598</v>
      </c>
      <c r="C764" s="203"/>
      <c r="D764" s="204"/>
      <c r="E764" s="221">
        <f aca="true" t="shared" si="49" ref="E764:Q764">E762+E763</f>
        <v>1393363.76</v>
      </c>
      <c r="F764" s="221">
        <f t="shared" si="49"/>
        <v>1590290.0899999999</v>
      </c>
      <c r="G764" s="221">
        <f t="shared" si="49"/>
        <v>1106971.14</v>
      </c>
      <c r="H764" s="221">
        <f t="shared" si="49"/>
        <v>1166797.52</v>
      </c>
      <c r="I764" s="221">
        <f t="shared" si="49"/>
        <v>1121375.78</v>
      </c>
      <c r="J764" s="221">
        <f t="shared" si="49"/>
        <v>1313430.08</v>
      </c>
      <c r="K764" s="221">
        <f t="shared" si="49"/>
        <v>1327794.6</v>
      </c>
      <c r="L764" s="221">
        <f t="shared" si="49"/>
        <v>1146645.6500000001</v>
      </c>
      <c r="M764" s="221">
        <f t="shared" si="49"/>
        <v>1458943.9100000001</v>
      </c>
      <c r="N764" s="264">
        <f t="shared" si="49"/>
        <v>1684750.98</v>
      </c>
      <c r="O764" s="221">
        <f>O763+O762</f>
        <v>1483433.81</v>
      </c>
      <c r="P764" s="221">
        <f>P763+P762</f>
        <v>1556975.25</v>
      </c>
      <c r="Q764" s="221">
        <f t="shared" si="49"/>
        <v>16350772.57</v>
      </c>
      <c r="R764" s="205"/>
      <c r="S764" s="281"/>
    </row>
    <row r="765" spans="2:18" ht="12.75">
      <c r="B765" s="193" t="s">
        <v>707</v>
      </c>
      <c r="C765" s="121"/>
      <c r="D765" s="122"/>
      <c r="E765" s="200">
        <v>78220.55</v>
      </c>
      <c r="F765" s="206">
        <v>87119.72</v>
      </c>
      <c r="G765" s="200">
        <v>50082.4</v>
      </c>
      <c r="H765" s="200">
        <v>70834.62</v>
      </c>
      <c r="I765" s="200"/>
      <c r="J765" s="200"/>
      <c r="K765" s="196"/>
      <c r="L765" s="200"/>
      <c r="M765" s="200"/>
      <c r="N765" s="200"/>
      <c r="O765" s="200"/>
      <c r="P765" s="169"/>
      <c r="Q765" s="200">
        <f>E765+F765+G765+H765+I765+J765+K765+L765+M765+N765+O765+P765</f>
        <v>286257.29000000004</v>
      </c>
      <c r="R765" s="108"/>
    </row>
    <row r="766" spans="2:19" s="207" customFormat="1" ht="12.75">
      <c r="B766" s="208" t="s">
        <v>708</v>
      </c>
      <c r="C766" s="209"/>
      <c r="D766" s="210"/>
      <c r="E766" s="211">
        <f aca="true" t="shared" si="50" ref="E766:P766">E765+E764</f>
        <v>1471584.31</v>
      </c>
      <c r="F766" s="211">
        <f t="shared" si="50"/>
        <v>1677409.8099999998</v>
      </c>
      <c r="G766" s="211">
        <f t="shared" si="50"/>
        <v>1157053.5399999998</v>
      </c>
      <c r="H766" s="211">
        <f t="shared" si="50"/>
        <v>1237632.1400000001</v>
      </c>
      <c r="I766" s="211">
        <f t="shared" si="50"/>
        <v>1121375.78</v>
      </c>
      <c r="J766" s="211">
        <f t="shared" si="50"/>
        <v>1313430.08</v>
      </c>
      <c r="K766" s="211">
        <f t="shared" si="50"/>
        <v>1327794.6</v>
      </c>
      <c r="L766" s="211">
        <f t="shared" si="50"/>
        <v>1146645.6500000001</v>
      </c>
      <c r="M766" s="211">
        <f t="shared" si="50"/>
        <v>1458943.9100000001</v>
      </c>
      <c r="N766" s="265">
        <f t="shared" si="50"/>
        <v>1684750.98</v>
      </c>
      <c r="O766" s="211">
        <f t="shared" si="50"/>
        <v>1483433.81</v>
      </c>
      <c r="P766" s="211">
        <f t="shared" si="50"/>
        <v>1556975.25</v>
      </c>
      <c r="Q766" s="211">
        <f>E766+F766+G766+H766+I766+J766+K766+L766+M766+N766+O766+P766</f>
        <v>16637029.860000003</v>
      </c>
      <c r="R766" s="212"/>
      <c r="S766" s="282"/>
    </row>
    <row r="767" spans="5:19" s="213" customFormat="1" ht="12">
      <c r="E767" s="214">
        <f>E764-E761</f>
        <v>6891.671949999174</v>
      </c>
      <c r="F767" s="214">
        <f aca="true" t="shared" si="51" ref="F767:P767">F764-F761</f>
        <v>8863.641950003337</v>
      </c>
      <c r="G767" s="214">
        <f t="shared" si="51"/>
        <v>-20579.57805000199</v>
      </c>
      <c r="H767" s="214">
        <f t="shared" si="51"/>
        <v>32443.71693000151</v>
      </c>
      <c r="I767" s="214">
        <f t="shared" si="51"/>
        <v>5756.6369299993385</v>
      </c>
      <c r="J767" s="214">
        <f t="shared" si="51"/>
        <v>-1992.744560000021</v>
      </c>
      <c r="K767" s="214">
        <f t="shared" si="51"/>
        <v>807.4523199999239</v>
      </c>
      <c r="L767" s="214">
        <f t="shared" si="51"/>
        <v>2033.1653600009158</v>
      </c>
      <c r="M767" s="214">
        <f t="shared" si="51"/>
        <v>125643.03688000166</v>
      </c>
      <c r="N767" s="266">
        <f t="shared" si="51"/>
        <v>234.60341759910807</v>
      </c>
      <c r="O767" s="214">
        <f t="shared" si="51"/>
        <v>-1196.0832000006922</v>
      </c>
      <c r="P767" s="214">
        <f t="shared" si="51"/>
        <v>-3.7219200010877103</v>
      </c>
      <c r="Q767" s="215">
        <f>E767+F767+G767+H767+I767+J767+K767+L767+M767+N767+O767+P767</f>
        <v>158901.79800760117</v>
      </c>
      <c r="S767" s="283"/>
    </row>
    <row r="768" ht="12.75">
      <c r="P768" s="108"/>
    </row>
    <row r="769" ht="12.75">
      <c r="P769" s="108"/>
    </row>
    <row r="770" ht="12.75">
      <c r="P770" s="108"/>
    </row>
    <row r="771" ht="12.75">
      <c r="P771" s="108"/>
    </row>
    <row r="772" ht="12.75">
      <c r="P772" s="108"/>
    </row>
    <row r="773" ht="12.75">
      <c r="P773" s="108"/>
    </row>
    <row r="774" ht="12.75">
      <c r="P774" s="108"/>
    </row>
    <row r="775" ht="12.75">
      <c r="P775" s="108"/>
    </row>
    <row r="776" ht="12.75">
      <c r="P776" s="108"/>
    </row>
    <row r="777" ht="12.75">
      <c r="P777" s="108"/>
    </row>
    <row r="778" ht="12.75">
      <c r="P778" s="108"/>
    </row>
    <row r="779" ht="12.75">
      <c r="P779" s="108"/>
    </row>
    <row r="780" ht="12.75">
      <c r="P780" s="108"/>
    </row>
    <row r="781" ht="12.75">
      <c r="P781" s="108"/>
    </row>
    <row r="782" ht="12.75">
      <c r="P782" s="108"/>
    </row>
    <row r="783" ht="12.75">
      <c r="P783" s="108"/>
    </row>
    <row r="784" ht="12.75">
      <c r="P784" s="108"/>
    </row>
    <row r="785" ht="12.75">
      <c r="P785" s="108"/>
    </row>
    <row r="786" ht="12.75">
      <c r="P786" s="108"/>
    </row>
    <row r="787" ht="12.75">
      <c r="P787" s="108"/>
    </row>
    <row r="788" ht="12.75">
      <c r="P788" s="108"/>
    </row>
    <row r="789" ht="12.75">
      <c r="P789" s="108"/>
    </row>
    <row r="790" ht="12.75">
      <c r="P790" s="108"/>
    </row>
    <row r="791" ht="12.75">
      <c r="P791" s="108"/>
    </row>
    <row r="792" ht="12.75">
      <c r="P792" s="108"/>
    </row>
    <row r="793" ht="12.75">
      <c r="P793" s="108"/>
    </row>
    <row r="794" ht="12.75">
      <c r="P794" s="108"/>
    </row>
    <row r="795" ht="12.75">
      <c r="P795" s="108"/>
    </row>
    <row r="796" ht="12.75">
      <c r="P796" s="108"/>
    </row>
    <row r="797" ht="12.75">
      <c r="P797" s="108"/>
    </row>
    <row r="798" ht="12.75">
      <c r="P798" s="108"/>
    </row>
    <row r="799" ht="12.75">
      <c r="P799" s="108"/>
    </row>
    <row r="800" ht="12.75">
      <c r="P800" s="108"/>
    </row>
    <row r="801" ht="12.75">
      <c r="P801" s="108"/>
    </row>
    <row r="802" ht="12.75">
      <c r="P802" s="108"/>
    </row>
    <row r="803" ht="12.75">
      <c r="P803" s="108"/>
    </row>
    <row r="804" ht="12.75">
      <c r="P804" s="108"/>
    </row>
    <row r="805" ht="12.75">
      <c r="P805" s="108"/>
    </row>
    <row r="806" ht="12.75">
      <c r="P806" s="108"/>
    </row>
    <row r="807" ht="12.75">
      <c r="P807" s="108"/>
    </row>
  </sheetData>
  <sheetProtection/>
  <autoFilter ref="A5:R767"/>
  <printOptions/>
  <pageMargins left="0.5118110236220472" right="0.31496062992125984" top="0.15748031496062992" bottom="0.15748031496062992" header="0.31496062992125984" footer="0.31496062992125984"/>
  <pageSetup blackAndWhite="1" fitToHeight="0" fitToWidth="1" horizontalDpi="600" verticalDpi="600" orientation="portrait" paperSize="9" scale="29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User19</cp:lastModifiedBy>
  <cp:lastPrinted>2016-01-26T07:56:07Z</cp:lastPrinted>
  <dcterms:created xsi:type="dcterms:W3CDTF">2011-04-19T14:43:12Z</dcterms:created>
  <dcterms:modified xsi:type="dcterms:W3CDTF">2017-02-06T09:37:30Z</dcterms:modified>
  <cp:category/>
  <cp:version/>
  <cp:contentType/>
  <cp:contentStatus/>
</cp:coreProperties>
</file>